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-Pierre\Desktop\GREENHABITAT\"/>
    </mc:Choice>
  </mc:AlternateContent>
  <xr:revisionPtr revIDLastSave="0" documentId="8_{94623BB2-17E2-49B4-9137-7DCAF5D9272E}" xr6:coauthVersionLast="46" xr6:coauthVersionMax="46" xr10:uidLastSave="{00000000-0000-0000-0000-000000000000}"/>
  <bookViews>
    <workbookView xWindow="-120" yWindow="-120" windowWidth="24240" windowHeight="13140" xr2:uid="{CC4A9309-6BF3-4AAC-865F-E31D06DD40DB}"/>
  </bookViews>
  <sheets>
    <sheet name="Quantitatif" sheetId="2" r:id="rId1"/>
    <sheet name="Feuil1" sheetId="3" r:id="rId2"/>
  </sheets>
  <externalReferences>
    <externalReference r:id="rId3"/>
  </externalReferences>
  <definedNames>
    <definedName name="_xlnm.Print_Titles" localSheetId="0">Quantitatif!$1:$1</definedName>
    <definedName name="_xlnm.Print_Area" localSheetId="0">Quantitatif!$A$3:$R$190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  <c r="J5" i="2"/>
  <c r="M5" i="2" s="1"/>
  <c r="Q5" i="2"/>
  <c r="J6" i="2"/>
  <c r="M6" i="2" s="1"/>
  <c r="J7" i="2"/>
  <c r="M7" i="2" s="1"/>
  <c r="J8" i="2"/>
  <c r="J9" i="2"/>
  <c r="M9" i="2" s="1"/>
  <c r="J12" i="2"/>
  <c r="M12" i="2" s="1"/>
  <c r="J15" i="2"/>
  <c r="J120" i="2" s="1"/>
  <c r="M16" i="2"/>
  <c r="J17" i="2"/>
  <c r="M17" i="2" s="1"/>
  <c r="M18" i="2"/>
  <c r="M19" i="2"/>
  <c r="J26" i="2"/>
  <c r="M26" i="2" s="1"/>
  <c r="G27" i="2"/>
  <c r="J27" i="2"/>
  <c r="P27" i="2"/>
  <c r="G28" i="2"/>
  <c r="J28" i="2"/>
  <c r="M28" i="2" s="1"/>
  <c r="P28" i="2"/>
  <c r="G29" i="2"/>
  <c r="P29" i="2"/>
  <c r="G30" i="2"/>
  <c r="J30" i="2"/>
  <c r="M30" i="2" s="1"/>
  <c r="P30" i="2"/>
  <c r="J33" i="2"/>
  <c r="J34" i="2"/>
  <c r="J35" i="2"/>
  <c r="M35" i="2" s="1"/>
  <c r="J41" i="2"/>
  <c r="M41" i="2" s="1"/>
  <c r="J45" i="2"/>
  <c r="J178" i="2" s="1"/>
  <c r="K178" i="2" s="1"/>
  <c r="N178" i="2" s="1"/>
  <c r="J46" i="2"/>
  <c r="M46" i="2" s="1"/>
  <c r="J47" i="2"/>
  <c r="M47" i="2" s="1"/>
  <c r="G48" i="2"/>
  <c r="J48" i="2"/>
  <c r="M48" i="2" s="1"/>
  <c r="P48" i="2"/>
  <c r="J49" i="2"/>
  <c r="Q49" i="2" s="1"/>
  <c r="J54" i="2"/>
  <c r="J56" i="2" s="1"/>
  <c r="Q56" i="2" s="1"/>
  <c r="J59" i="2"/>
  <c r="M59" i="2" s="1"/>
  <c r="J63" i="2"/>
  <c r="Q63" i="2" s="1"/>
  <c r="J68" i="2"/>
  <c r="M68" i="2" s="1"/>
  <c r="J72" i="2"/>
  <c r="Q72" i="2" s="1"/>
  <c r="J77" i="2"/>
  <c r="M77" i="2" s="1"/>
  <c r="J82" i="2"/>
  <c r="M82" i="2" s="1"/>
  <c r="J83" i="2"/>
  <c r="M83" i="2" s="1"/>
  <c r="J84" i="2"/>
  <c r="M84" i="2" s="1"/>
  <c r="J85" i="2"/>
  <c r="M85" i="2" s="1"/>
  <c r="J86" i="2"/>
  <c r="M86" i="2" s="1"/>
  <c r="J90" i="2"/>
  <c r="J91" i="2"/>
  <c r="J92" i="2"/>
  <c r="J93" i="2"/>
  <c r="Q93" i="2" s="1"/>
  <c r="J94" i="2"/>
  <c r="M94" i="2" s="1"/>
  <c r="J95" i="2"/>
  <c r="M95" i="2" s="1"/>
  <c r="J96" i="2"/>
  <c r="Q96" i="2" s="1"/>
  <c r="J97" i="2"/>
  <c r="Q97" i="2" s="1"/>
  <c r="J98" i="2"/>
  <c r="M98" i="2" s="1"/>
  <c r="J99" i="2"/>
  <c r="M99" i="2" s="1"/>
  <c r="J100" i="2"/>
  <c r="J165" i="2" s="1"/>
  <c r="J101" i="2"/>
  <c r="J166" i="2" s="1"/>
  <c r="J102" i="2"/>
  <c r="G103" i="2"/>
  <c r="J103" i="2"/>
  <c r="M103" i="2" s="1"/>
  <c r="G104" i="2"/>
  <c r="J104" i="2"/>
  <c r="M104" i="2" s="1"/>
  <c r="G105" i="2"/>
  <c r="J105" i="2"/>
  <c r="M105" i="2" s="1"/>
  <c r="G106" i="2"/>
  <c r="J106" i="2"/>
  <c r="G107" i="2"/>
  <c r="J107" i="2"/>
  <c r="M107" i="2" s="1"/>
  <c r="G108" i="2"/>
  <c r="J108" i="2"/>
  <c r="M108" i="2" s="1"/>
  <c r="G109" i="2"/>
  <c r="J109" i="2"/>
  <c r="M109" i="2" s="1"/>
  <c r="G110" i="2"/>
  <c r="J110" i="2"/>
  <c r="G111" i="2"/>
  <c r="J111" i="2"/>
  <c r="M111" i="2" s="1"/>
  <c r="M117" i="2"/>
  <c r="M124" i="2"/>
  <c r="Q124" i="2"/>
  <c r="K130" i="2"/>
  <c r="N130" i="2" s="1"/>
  <c r="M130" i="2"/>
  <c r="Q130" i="2"/>
  <c r="K131" i="2"/>
  <c r="N131" i="2" s="1"/>
  <c r="M131" i="2"/>
  <c r="Q131" i="2"/>
  <c r="K132" i="2"/>
  <c r="N132" i="2" s="1"/>
  <c r="M132" i="2"/>
  <c r="Q132" i="2"/>
  <c r="J138" i="2"/>
  <c r="J144" i="2"/>
  <c r="J145" i="2"/>
  <c r="K151" i="2"/>
  <c r="N151" i="2" s="1"/>
  <c r="M151" i="2"/>
  <c r="Q151" i="2"/>
  <c r="J153" i="2"/>
  <c r="K153" i="2" s="1"/>
  <c r="N153" i="2" s="1"/>
  <c r="J168" i="2"/>
  <c r="Q168" i="2" s="1"/>
  <c r="K175" i="2"/>
  <c r="N175" i="2" s="1"/>
  <c r="M175" i="2"/>
  <c r="Q176" i="2"/>
  <c r="J179" i="2"/>
  <c r="J181" i="2"/>
  <c r="J135" i="2" s="1"/>
  <c r="K184" i="2"/>
  <c r="N184" i="2" s="1"/>
  <c r="M184" i="2"/>
  <c r="Q184" i="2"/>
  <c r="J195" i="2"/>
  <c r="Q195" i="2" s="1"/>
  <c r="J198" i="2"/>
  <c r="K198" i="2" s="1"/>
  <c r="N198" i="2" s="1"/>
  <c r="J199" i="2"/>
  <c r="J202" i="2"/>
  <c r="Q202" i="2" s="1"/>
  <c r="J203" i="2"/>
  <c r="Q203" i="2" s="1"/>
  <c r="J204" i="2"/>
  <c r="J206" i="2"/>
  <c r="Q206" i="2" s="1"/>
  <c r="J207" i="2"/>
  <c r="K207" i="2" s="1"/>
  <c r="N207" i="2" s="1"/>
  <c r="J208" i="2"/>
  <c r="Q208" i="2" s="1"/>
  <c r="J211" i="2"/>
  <c r="Q211" i="2" s="1"/>
  <c r="J212" i="2"/>
  <c r="M212" i="2" s="1"/>
  <c r="Q212" i="2"/>
  <c r="J213" i="2"/>
  <c r="Q213" i="2" s="1"/>
  <c r="J214" i="2"/>
  <c r="M214" i="2" s="1"/>
  <c r="J215" i="2"/>
  <c r="K215" i="2" s="1"/>
  <c r="N215" i="2" s="1"/>
  <c r="J216" i="2"/>
  <c r="M216" i="2" s="1"/>
  <c r="K219" i="2"/>
  <c r="N219" i="2" s="1"/>
  <c r="M219" i="2"/>
  <c r="Q219" i="2"/>
  <c r="J222" i="2"/>
  <c r="J231" i="2" s="1"/>
  <c r="Q231" i="2" s="1"/>
  <c r="J223" i="2"/>
  <c r="Q223" i="2" s="1"/>
  <c r="J224" i="2"/>
  <c r="J233" i="2" s="1"/>
  <c r="J225" i="2"/>
  <c r="J226" i="2"/>
  <c r="K226" i="2" s="1"/>
  <c r="K229" i="2"/>
  <c r="M229" i="2"/>
  <c r="Q229" i="2"/>
  <c r="K230" i="2"/>
  <c r="M230" i="2"/>
  <c r="Q230" i="2"/>
  <c r="J236" i="2"/>
  <c r="K236" i="2" s="1"/>
  <c r="J237" i="2"/>
  <c r="K237" i="2" s="1"/>
  <c r="J238" i="2"/>
  <c r="Q238" i="2" s="1"/>
  <c r="Q239" i="2" s="1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J255" i="2"/>
  <c r="K255" i="2" s="1"/>
  <c r="G256" i="2"/>
  <c r="G257" i="2"/>
  <c r="G258" i="2"/>
  <c r="G259" i="2"/>
  <c r="G260" i="2"/>
  <c r="G261" i="2"/>
  <c r="G262" i="2"/>
  <c r="K263" i="2"/>
  <c r="M263" i="2"/>
  <c r="Q263" i="2"/>
  <c r="J264" i="2"/>
  <c r="K264" i="2" s="1"/>
  <c r="J265" i="2"/>
  <c r="K265" i="2" s="1"/>
  <c r="J268" i="2"/>
  <c r="M268" i="2" s="1"/>
  <c r="J269" i="2"/>
  <c r="J270" i="2"/>
  <c r="K270" i="2" s="1"/>
  <c r="J271" i="2"/>
  <c r="K271" i="2" s="1"/>
  <c r="J272" i="2"/>
  <c r="Q272" i="2" s="1"/>
  <c r="K274" i="2"/>
  <c r="M274" i="2"/>
  <c r="Q274" i="2"/>
  <c r="K275" i="2"/>
  <c r="M275" i="2"/>
  <c r="Q275" i="2"/>
  <c r="K276" i="2"/>
  <c r="M276" i="2"/>
  <c r="Q276" i="2"/>
  <c r="K277" i="2"/>
  <c r="M277" i="2"/>
  <c r="Q277" i="2"/>
  <c r="J283" i="2"/>
  <c r="K283" i="2" s="1"/>
  <c r="J284" i="2"/>
  <c r="K284" i="2" s="1"/>
  <c r="J285" i="2"/>
  <c r="K285" i="2" s="1"/>
  <c r="J286" i="2"/>
  <c r="J287" i="2"/>
  <c r="K287" i="2" s="1"/>
  <c r="J288" i="2"/>
  <c r="K288" i="2" s="1"/>
  <c r="K289" i="2"/>
  <c r="M289" i="2"/>
  <c r="Q289" i="2"/>
  <c r="K290" i="2"/>
  <c r="M290" i="2"/>
  <c r="Q290" i="2"/>
  <c r="K291" i="2"/>
  <c r="M291" i="2"/>
  <c r="Q291" i="2"/>
  <c r="K292" i="2"/>
  <c r="M292" i="2"/>
  <c r="Q292" i="2"/>
  <c r="K293" i="2"/>
  <c r="M293" i="2"/>
  <c r="Q293" i="2"/>
  <c r="K294" i="2"/>
  <c r="M294" i="2"/>
  <c r="Q294" i="2"/>
  <c r="K295" i="2"/>
  <c r="M295" i="2"/>
  <c r="Q295" i="2"/>
  <c r="K296" i="2"/>
  <c r="M296" i="2"/>
  <c r="Q296" i="2"/>
  <c r="J297" i="2"/>
  <c r="J183" i="2" s="1"/>
  <c r="J300" i="2"/>
  <c r="J10" i="2" s="1"/>
  <c r="J301" i="2"/>
  <c r="K301" i="2" s="1"/>
  <c r="J302" i="2"/>
  <c r="J281" i="2" s="1"/>
  <c r="K281" i="2" s="1"/>
  <c r="J303" i="2"/>
  <c r="K303" i="2" s="1"/>
  <c r="J304" i="2"/>
  <c r="K304" i="2" s="1"/>
  <c r="J305" i="2"/>
  <c r="M305" i="2" s="1"/>
  <c r="J306" i="2"/>
  <c r="K306" i="2" s="1"/>
  <c r="G308" i="2"/>
  <c r="G309" i="2"/>
  <c r="G310" i="2"/>
  <c r="G311" i="2"/>
  <c r="A315" i="2"/>
  <c r="C315" i="2"/>
  <c r="G315" i="2"/>
  <c r="J315" i="2" s="1"/>
  <c r="I315" i="2"/>
  <c r="R315" i="2"/>
  <c r="A316" i="2"/>
  <c r="B316" i="2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C316" i="2"/>
  <c r="G316" i="2"/>
  <c r="J316" i="2" s="1"/>
  <c r="I316" i="2"/>
  <c r="R316" i="2"/>
  <c r="A317" i="2"/>
  <c r="C317" i="2"/>
  <c r="G317" i="2"/>
  <c r="J317" i="2" s="1"/>
  <c r="I317" i="2"/>
  <c r="R317" i="2"/>
  <c r="A318" i="2"/>
  <c r="C318" i="2"/>
  <c r="G318" i="2"/>
  <c r="J318" i="2" s="1"/>
  <c r="I318" i="2"/>
  <c r="R318" i="2"/>
  <c r="A319" i="2"/>
  <c r="C319" i="2"/>
  <c r="G319" i="2"/>
  <c r="J319" i="2" s="1"/>
  <c r="I319" i="2"/>
  <c r="R319" i="2"/>
  <c r="A320" i="2"/>
  <c r="C320" i="2"/>
  <c r="G320" i="2"/>
  <c r="J320" i="2" s="1"/>
  <c r="I320" i="2"/>
  <c r="R320" i="2"/>
  <c r="A321" i="2"/>
  <c r="C321" i="2"/>
  <c r="G321" i="2"/>
  <c r="J321" i="2" s="1"/>
  <c r="I321" i="2"/>
  <c r="R321" i="2"/>
  <c r="A322" i="2"/>
  <c r="C322" i="2"/>
  <c r="G322" i="2"/>
  <c r="J322" i="2" s="1"/>
  <c r="I322" i="2"/>
  <c r="R322" i="2"/>
  <c r="C323" i="2"/>
  <c r="G323" i="2"/>
  <c r="J323" i="2" s="1"/>
  <c r="I323" i="2"/>
  <c r="R323" i="2"/>
  <c r="C324" i="2"/>
  <c r="G324" i="2"/>
  <c r="J324" i="2" s="1"/>
  <c r="K324" i="2" s="1"/>
  <c r="N324" i="2" s="1"/>
  <c r="I324" i="2"/>
  <c r="R324" i="2"/>
  <c r="C325" i="2"/>
  <c r="G325" i="2"/>
  <c r="J325" i="2" s="1"/>
  <c r="I325" i="2"/>
  <c r="R325" i="2"/>
  <c r="C326" i="2"/>
  <c r="G326" i="2"/>
  <c r="J326" i="2" s="1"/>
  <c r="I326" i="2"/>
  <c r="R326" i="2"/>
  <c r="C327" i="2"/>
  <c r="G327" i="2"/>
  <c r="J327" i="2" s="1"/>
  <c r="I327" i="2"/>
  <c r="R327" i="2"/>
  <c r="C328" i="2"/>
  <c r="G328" i="2"/>
  <c r="J328" i="2" s="1"/>
  <c r="I328" i="2"/>
  <c r="R328" i="2"/>
  <c r="C329" i="2"/>
  <c r="G329" i="2"/>
  <c r="J329" i="2" s="1"/>
  <c r="I329" i="2"/>
  <c r="R329" i="2"/>
  <c r="C330" i="2"/>
  <c r="G330" i="2"/>
  <c r="J330" i="2" s="1"/>
  <c r="M330" i="2" s="1"/>
  <c r="I330" i="2"/>
  <c r="R330" i="2"/>
  <c r="C331" i="2"/>
  <c r="G331" i="2"/>
  <c r="J331" i="2" s="1"/>
  <c r="I331" i="2"/>
  <c r="R331" i="2"/>
  <c r="C332" i="2"/>
  <c r="G332" i="2"/>
  <c r="J332" i="2" s="1"/>
  <c r="I332" i="2"/>
  <c r="R332" i="2"/>
  <c r="C333" i="2"/>
  <c r="G333" i="2"/>
  <c r="J333" i="2" s="1"/>
  <c r="K333" i="2" s="1"/>
  <c r="N333" i="2" s="1"/>
  <c r="I333" i="2"/>
  <c r="R333" i="2"/>
  <c r="C334" i="2"/>
  <c r="I334" i="2"/>
  <c r="J334" i="2"/>
  <c r="K334" i="2" s="1"/>
  <c r="N334" i="2" s="1"/>
  <c r="R334" i="2"/>
  <c r="C335" i="2"/>
  <c r="I335" i="2"/>
  <c r="J335" i="2"/>
  <c r="Q335" i="2" s="1"/>
  <c r="R335" i="2"/>
  <c r="C336" i="2"/>
  <c r="I336" i="2"/>
  <c r="J336" i="2"/>
  <c r="K336" i="2" s="1"/>
  <c r="N336" i="2" s="1"/>
  <c r="R336" i="2"/>
  <c r="C337" i="2"/>
  <c r="I337" i="2"/>
  <c r="J337" i="2"/>
  <c r="Q337" i="2" s="1"/>
  <c r="R337" i="2"/>
  <c r="C338" i="2"/>
  <c r="I338" i="2"/>
  <c r="J338" i="2"/>
  <c r="R338" i="2"/>
  <c r="C339" i="2"/>
  <c r="G339" i="2"/>
  <c r="J339" i="2" s="1"/>
  <c r="I339" i="2"/>
  <c r="R339" i="2"/>
  <c r="B340" i="2"/>
  <c r="B341" i="2" s="1"/>
  <c r="B342" i="2" s="1"/>
  <c r="B343" i="2" s="1"/>
  <c r="B344" i="2" s="1"/>
  <c r="C340" i="2"/>
  <c r="G340" i="2"/>
  <c r="J340" i="2" s="1"/>
  <c r="Q340" i="2" s="1"/>
  <c r="I340" i="2"/>
  <c r="R340" i="2"/>
  <c r="C341" i="2"/>
  <c r="G341" i="2"/>
  <c r="J341" i="2" s="1"/>
  <c r="I341" i="2"/>
  <c r="R341" i="2"/>
  <c r="C342" i="2"/>
  <c r="I342" i="2"/>
  <c r="J342" i="2"/>
  <c r="Q342" i="2" s="1"/>
  <c r="R342" i="2"/>
  <c r="C343" i="2"/>
  <c r="I343" i="2"/>
  <c r="J343" i="2"/>
  <c r="R343" i="2"/>
  <c r="C344" i="2"/>
  <c r="I344" i="2"/>
  <c r="J344" i="2"/>
  <c r="R344" i="2"/>
  <c r="C345" i="2"/>
  <c r="G345" i="2"/>
  <c r="J345" i="2" s="1"/>
  <c r="I345" i="2"/>
  <c r="R345" i="2"/>
  <c r="B346" i="2"/>
  <c r="B347" i="2" s="1"/>
  <c r="B348" i="2" s="1"/>
  <c r="B349" i="2" s="1"/>
  <c r="B350" i="2" s="1"/>
  <c r="B351" i="2" s="1"/>
  <c r="B352" i="2" s="1"/>
  <c r="B353" i="2" s="1"/>
  <c r="B354" i="2" s="1"/>
  <c r="B355" i="2" s="1"/>
  <c r="C346" i="2"/>
  <c r="G346" i="2"/>
  <c r="J346" i="2" s="1"/>
  <c r="I346" i="2"/>
  <c r="R346" i="2"/>
  <c r="C347" i="2"/>
  <c r="G347" i="2"/>
  <c r="J347" i="2" s="1"/>
  <c r="I347" i="2"/>
  <c r="R347" i="2"/>
  <c r="C348" i="2"/>
  <c r="G348" i="2"/>
  <c r="J348" i="2" s="1"/>
  <c r="I348" i="2"/>
  <c r="R348" i="2"/>
  <c r="C349" i="2"/>
  <c r="G349" i="2"/>
  <c r="J349" i="2" s="1"/>
  <c r="M349" i="2" s="1"/>
  <c r="I349" i="2"/>
  <c r="R349" i="2"/>
  <c r="C350" i="2"/>
  <c r="G350" i="2"/>
  <c r="J350" i="2" s="1"/>
  <c r="I350" i="2"/>
  <c r="R350" i="2"/>
  <c r="C351" i="2"/>
  <c r="G351" i="2"/>
  <c r="J351" i="2" s="1"/>
  <c r="Q351" i="2" s="1"/>
  <c r="I351" i="2"/>
  <c r="R351" i="2"/>
  <c r="C352" i="2"/>
  <c r="G352" i="2"/>
  <c r="J352" i="2" s="1"/>
  <c r="M352" i="2" s="1"/>
  <c r="I352" i="2"/>
  <c r="R352" i="2"/>
  <c r="C353" i="2"/>
  <c r="I353" i="2"/>
  <c r="J353" i="2"/>
  <c r="Q353" i="2" s="1"/>
  <c r="R353" i="2"/>
  <c r="C354" i="2"/>
  <c r="I354" i="2"/>
  <c r="J354" i="2"/>
  <c r="R354" i="2"/>
  <c r="C355" i="2"/>
  <c r="I355" i="2"/>
  <c r="J355" i="2"/>
  <c r="R355" i="2"/>
  <c r="C356" i="2"/>
  <c r="G356" i="2"/>
  <c r="J356" i="2" s="1"/>
  <c r="I356" i="2"/>
  <c r="M356" i="2"/>
  <c r="R356" i="2"/>
  <c r="B357" i="2"/>
  <c r="B358" i="2" s="1"/>
  <c r="B359" i="2" s="1"/>
  <c r="B360" i="2" s="1"/>
  <c r="B361" i="2" s="1"/>
  <c r="C357" i="2"/>
  <c r="G357" i="2"/>
  <c r="J357" i="2" s="1"/>
  <c r="I357" i="2"/>
  <c r="R357" i="2"/>
  <c r="C358" i="2"/>
  <c r="G358" i="2"/>
  <c r="J358" i="2" s="1"/>
  <c r="Q358" i="2" s="1"/>
  <c r="I358" i="2"/>
  <c r="R358" i="2"/>
  <c r="C359" i="2"/>
  <c r="I359" i="2"/>
  <c r="J359" i="2"/>
  <c r="Q359" i="2" s="1"/>
  <c r="R359" i="2"/>
  <c r="C360" i="2"/>
  <c r="I360" i="2"/>
  <c r="J360" i="2"/>
  <c r="Q360" i="2" s="1"/>
  <c r="R360" i="2"/>
  <c r="C361" i="2"/>
  <c r="I361" i="2"/>
  <c r="J361" i="2"/>
  <c r="R361" i="2"/>
  <c r="C362" i="2"/>
  <c r="I362" i="2"/>
  <c r="J362" i="2"/>
  <c r="J241" i="2" s="1"/>
  <c r="K241" i="2" s="1"/>
  <c r="R362" i="2"/>
  <c r="B363" i="2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C363" i="2"/>
  <c r="I363" i="2"/>
  <c r="J363" i="2"/>
  <c r="J242" i="2" s="1"/>
  <c r="M242" i="2" s="1"/>
  <c r="R363" i="2"/>
  <c r="C364" i="2"/>
  <c r="I364" i="2"/>
  <c r="J364" i="2"/>
  <c r="J243" i="2" s="1"/>
  <c r="Q364" i="2"/>
  <c r="R364" i="2"/>
  <c r="C365" i="2"/>
  <c r="I365" i="2"/>
  <c r="J365" i="2"/>
  <c r="M365" i="2" s="1"/>
  <c r="R365" i="2"/>
  <c r="C366" i="2"/>
  <c r="I366" i="2"/>
  <c r="J366" i="2"/>
  <c r="R366" i="2"/>
  <c r="C367" i="2"/>
  <c r="I367" i="2"/>
  <c r="J367" i="2"/>
  <c r="R367" i="2"/>
  <c r="C368" i="2"/>
  <c r="I368" i="2"/>
  <c r="J368" i="2"/>
  <c r="J247" i="2" s="1"/>
  <c r="R368" i="2"/>
  <c r="C369" i="2"/>
  <c r="I369" i="2"/>
  <c r="J369" i="2"/>
  <c r="R369" i="2"/>
  <c r="C370" i="2"/>
  <c r="I370" i="2"/>
  <c r="J370" i="2"/>
  <c r="R370" i="2"/>
  <c r="C371" i="2"/>
  <c r="I371" i="2"/>
  <c r="J371" i="2"/>
  <c r="J250" i="2" s="1"/>
  <c r="R371" i="2"/>
  <c r="C372" i="2"/>
  <c r="I372" i="2"/>
  <c r="J372" i="2"/>
  <c r="R372" i="2"/>
  <c r="C373" i="2"/>
  <c r="I373" i="2"/>
  <c r="J373" i="2"/>
  <c r="J252" i="2" s="1"/>
  <c r="R373" i="2"/>
  <c r="C374" i="2"/>
  <c r="I374" i="2"/>
  <c r="J374" i="2"/>
  <c r="J253" i="2" s="1"/>
  <c r="K253" i="2" s="1"/>
  <c r="R374" i="2"/>
  <c r="C375" i="2"/>
  <c r="I375" i="2"/>
  <c r="J375" i="2"/>
  <c r="J254" i="2" s="1"/>
  <c r="R375" i="2"/>
  <c r="C376" i="2"/>
  <c r="I376" i="2"/>
  <c r="Q376" i="2"/>
  <c r="R376" i="2"/>
  <c r="C377" i="2"/>
  <c r="I377" i="2"/>
  <c r="J377" i="2"/>
  <c r="Q377" i="2" s="1"/>
  <c r="R377" i="2"/>
  <c r="C378" i="2"/>
  <c r="I378" i="2"/>
  <c r="J378" i="2"/>
  <c r="J257" i="2" s="1"/>
  <c r="K257" i="2" s="1"/>
  <c r="R378" i="2"/>
  <c r="C379" i="2"/>
  <c r="I379" i="2"/>
  <c r="J379" i="2"/>
  <c r="J258" i="2" s="1"/>
  <c r="M258" i="2" s="1"/>
  <c r="R379" i="2"/>
  <c r="C380" i="2"/>
  <c r="I380" i="2"/>
  <c r="J380" i="2"/>
  <c r="R380" i="2"/>
  <c r="C381" i="2"/>
  <c r="I381" i="2"/>
  <c r="J381" i="2"/>
  <c r="Q381" i="2" s="1"/>
  <c r="R381" i="2"/>
  <c r="C382" i="2"/>
  <c r="I382" i="2"/>
  <c r="J382" i="2"/>
  <c r="J261" i="2" s="1"/>
  <c r="K261" i="2" s="1"/>
  <c r="R382" i="2"/>
  <c r="C383" i="2"/>
  <c r="I383" i="2"/>
  <c r="J383" i="2"/>
  <c r="J262" i="2" s="1"/>
  <c r="M262" i="2" s="1"/>
  <c r="R383" i="2"/>
  <c r="C384" i="2"/>
  <c r="G384" i="2"/>
  <c r="J384" i="2" s="1"/>
  <c r="M384" i="2" s="1"/>
  <c r="I384" i="2"/>
  <c r="R384" i="2"/>
  <c r="B385" i="2"/>
  <c r="B386" i="2" s="1"/>
  <c r="C385" i="2"/>
  <c r="G385" i="2"/>
  <c r="J385" i="2" s="1"/>
  <c r="Q385" i="2" s="1"/>
  <c r="I385" i="2"/>
  <c r="R385" i="2"/>
  <c r="C386" i="2"/>
  <c r="I386" i="2"/>
  <c r="J386" i="2"/>
  <c r="R386" i="2"/>
  <c r="C387" i="2"/>
  <c r="G387" i="2"/>
  <c r="J387" i="2" s="1"/>
  <c r="M387" i="2" s="1"/>
  <c r="I387" i="2"/>
  <c r="R387" i="2"/>
  <c r="B388" i="2"/>
  <c r="B389" i="2" s="1"/>
  <c r="B390" i="2" s="1"/>
  <c r="B391" i="2" s="1"/>
  <c r="B392" i="2" s="1"/>
  <c r="B393" i="2" s="1"/>
  <c r="B394" i="2" s="1"/>
  <c r="B395" i="2" s="1"/>
  <c r="B396" i="2" s="1"/>
  <c r="C388" i="2"/>
  <c r="G388" i="2"/>
  <c r="J388" i="2" s="1"/>
  <c r="Q388" i="2" s="1"/>
  <c r="I388" i="2"/>
  <c r="R388" i="2"/>
  <c r="C389" i="2"/>
  <c r="I389" i="2"/>
  <c r="J389" i="2"/>
  <c r="Q389" i="2" s="1"/>
  <c r="R389" i="2"/>
  <c r="C390" i="2"/>
  <c r="I390" i="2"/>
  <c r="J390" i="2"/>
  <c r="R390" i="2"/>
  <c r="C391" i="2"/>
  <c r="I391" i="2"/>
  <c r="J391" i="2"/>
  <c r="R391" i="2"/>
  <c r="C392" i="2"/>
  <c r="I392" i="2"/>
  <c r="J392" i="2"/>
  <c r="Q392" i="2" s="1"/>
  <c r="R392" i="2"/>
  <c r="C393" i="2"/>
  <c r="I393" i="2"/>
  <c r="J393" i="2"/>
  <c r="K393" i="2" s="1"/>
  <c r="N393" i="2" s="1"/>
  <c r="R393" i="2"/>
  <c r="C394" i="2"/>
  <c r="G394" i="2"/>
  <c r="J394" i="2" s="1"/>
  <c r="Q394" i="2" s="1"/>
  <c r="I394" i="2"/>
  <c r="R394" i="2"/>
  <c r="C395" i="2"/>
  <c r="I395" i="2"/>
  <c r="J395" i="2"/>
  <c r="M395" i="2" s="1"/>
  <c r="R395" i="2"/>
  <c r="C396" i="2"/>
  <c r="I396" i="2"/>
  <c r="J396" i="2"/>
  <c r="R396" i="2"/>
  <c r="C397" i="2"/>
  <c r="I397" i="2"/>
  <c r="J397" i="2"/>
  <c r="K397" i="2" s="1"/>
  <c r="N397" i="2" s="1"/>
  <c r="R397" i="2"/>
  <c r="B398" i="2"/>
  <c r="C398" i="2"/>
  <c r="J398" i="2"/>
  <c r="K398" i="2" s="1"/>
  <c r="N398" i="2" s="1"/>
  <c r="R398" i="2"/>
  <c r="B400" i="2"/>
  <c r="B401" i="2"/>
  <c r="G401" i="2"/>
  <c r="J401" i="2"/>
  <c r="B402" i="2"/>
  <c r="G402" i="2"/>
  <c r="J402" i="2"/>
  <c r="B403" i="2"/>
  <c r="G403" i="2"/>
  <c r="J403" i="2"/>
  <c r="B404" i="2"/>
  <c r="G404" i="2"/>
  <c r="J404" i="2"/>
  <c r="B405" i="2"/>
  <c r="G405" i="2"/>
  <c r="J405" i="2"/>
  <c r="B406" i="2"/>
  <c r="G406" i="2"/>
  <c r="J406" i="2"/>
  <c r="B407" i="2"/>
  <c r="G407" i="2"/>
  <c r="J407" i="2"/>
  <c r="B408" i="2"/>
  <c r="G408" i="2"/>
  <c r="J408" i="2"/>
  <c r="B409" i="2"/>
  <c r="G409" i="2"/>
  <c r="J409" i="2"/>
  <c r="B410" i="2"/>
  <c r="G410" i="2"/>
  <c r="J410" i="2"/>
  <c r="N411" i="2"/>
  <c r="Q411" i="2"/>
  <c r="M364" i="2" l="1"/>
  <c r="J121" i="2"/>
  <c r="M211" i="2"/>
  <c r="Q375" i="2"/>
  <c r="K375" i="2"/>
  <c r="N375" i="2" s="1"/>
  <c r="Q17" i="2"/>
  <c r="Q214" i="2"/>
  <c r="K211" i="2"/>
  <c r="N211" i="2" s="1"/>
  <c r="Q368" i="2"/>
  <c r="Q336" i="2"/>
  <c r="J163" i="2"/>
  <c r="K163" i="2" s="1"/>
  <c r="N163" i="2" s="1"/>
  <c r="M336" i="2"/>
  <c r="Q301" i="2"/>
  <c r="J160" i="2"/>
  <c r="Q160" i="2" s="1"/>
  <c r="Q94" i="2"/>
  <c r="J112" i="2"/>
  <c r="Q112" i="2" s="1"/>
  <c r="Q41" i="2"/>
  <c r="Q398" i="2"/>
  <c r="Q303" i="2"/>
  <c r="Q181" i="2"/>
  <c r="Q153" i="2"/>
  <c r="Q383" i="2"/>
  <c r="K305" i="2"/>
  <c r="Q236" i="2"/>
  <c r="M181" i="2"/>
  <c r="J164" i="2"/>
  <c r="Q164" i="2" s="1"/>
  <c r="Q83" i="2"/>
  <c r="M398" i="2"/>
  <c r="M383" i="2"/>
  <c r="Q371" i="2"/>
  <c r="Q98" i="2"/>
  <c r="J282" i="2"/>
  <c r="Q282" i="2" s="1"/>
  <c r="Q85" i="2"/>
  <c r="M56" i="2"/>
  <c r="M165" i="2"/>
  <c r="Q165" i="2"/>
  <c r="K165" i="2"/>
  <c r="N165" i="2" s="1"/>
  <c r="M329" i="2"/>
  <c r="K329" i="2"/>
  <c r="N329" i="2" s="1"/>
  <c r="K166" i="2"/>
  <c r="N166" i="2" s="1"/>
  <c r="M166" i="2"/>
  <c r="M120" i="2"/>
  <c r="Q120" i="2"/>
  <c r="M393" i="2"/>
  <c r="J309" i="2"/>
  <c r="Q306" i="2"/>
  <c r="Q285" i="2"/>
  <c r="Q271" i="2"/>
  <c r="Q264" i="2"/>
  <c r="Q216" i="2"/>
  <c r="Q215" i="2"/>
  <c r="J141" i="2"/>
  <c r="Q99" i="2"/>
  <c r="Q95" i="2"/>
  <c r="Q46" i="2"/>
  <c r="J23" i="2"/>
  <c r="J150" i="2" s="1"/>
  <c r="K150" i="2" s="1"/>
  <c r="N150" i="2" s="1"/>
  <c r="Q12" i="2"/>
  <c r="Q393" i="2"/>
  <c r="K395" i="2"/>
  <c r="N395" i="2" s="1"/>
  <c r="Q382" i="2"/>
  <c r="Q373" i="2"/>
  <c r="Q365" i="2"/>
  <c r="Q334" i="2"/>
  <c r="Q324" i="2"/>
  <c r="J310" i="2"/>
  <c r="M306" i="2"/>
  <c r="M285" i="2"/>
  <c r="Q284" i="2"/>
  <c r="M272" i="2"/>
  <c r="M271" i="2"/>
  <c r="Q270" i="2"/>
  <c r="M264" i="2"/>
  <c r="Q237" i="2"/>
  <c r="M215" i="2"/>
  <c r="J218" i="2"/>
  <c r="Q218" i="2" s="1"/>
  <c r="J182" i="2"/>
  <c r="K182" i="2" s="1"/>
  <c r="N182" i="2" s="1"/>
  <c r="J161" i="2"/>
  <c r="Q84" i="2"/>
  <c r="Q82" i="2"/>
  <c r="Q59" i="2"/>
  <c r="M49" i="2"/>
  <c r="M373" i="2"/>
  <c r="J308" i="2"/>
  <c r="K308" i="2" s="1"/>
  <c r="Q302" i="2"/>
  <c r="K300" i="2"/>
  <c r="Q255" i="2"/>
  <c r="K216" i="2"/>
  <c r="N216" i="2" s="1"/>
  <c r="Q207" i="2"/>
  <c r="J162" i="2"/>
  <c r="M96" i="2"/>
  <c r="J69" i="2"/>
  <c r="M69" i="2" s="1"/>
  <c r="M348" i="2"/>
  <c r="Q348" i="2"/>
  <c r="K348" i="2"/>
  <c r="N348" i="2" s="1"/>
  <c r="M341" i="2"/>
  <c r="K341" i="2"/>
  <c r="N341" i="2" s="1"/>
  <c r="Q341" i="2"/>
  <c r="Q397" i="2"/>
  <c r="Q395" i="2"/>
  <c r="Q374" i="2"/>
  <c r="K373" i="2"/>
  <c r="N373" i="2" s="1"/>
  <c r="M371" i="2"/>
  <c r="M368" i="2"/>
  <c r="K365" i="2"/>
  <c r="N365" i="2" s="1"/>
  <c r="Q362" i="2"/>
  <c r="Q355" i="2"/>
  <c r="Q352" i="2"/>
  <c r="M335" i="2"/>
  <c r="K335" i="2"/>
  <c r="N335" i="2" s="1"/>
  <c r="M397" i="2"/>
  <c r="K374" i="2"/>
  <c r="N374" i="2" s="1"/>
  <c r="K371" i="2"/>
  <c r="N371" i="2" s="1"/>
  <c r="K368" i="2"/>
  <c r="N368" i="2" s="1"/>
  <c r="Q363" i="2"/>
  <c r="M362" i="2"/>
  <c r="K352" i="2"/>
  <c r="N352" i="2" s="1"/>
  <c r="Q344" i="2"/>
  <c r="K387" i="2"/>
  <c r="N387" i="2" s="1"/>
  <c r="Q378" i="2"/>
  <c r="M374" i="2"/>
  <c r="K363" i="2"/>
  <c r="N363" i="2" s="1"/>
  <c r="Q361" i="2"/>
  <c r="Q338" i="2"/>
  <c r="M333" i="2"/>
  <c r="Q333" i="2"/>
  <c r="K328" i="2"/>
  <c r="N328" i="2" s="1"/>
  <c r="Q328" i="2"/>
  <c r="M325" i="2"/>
  <c r="Q325" i="2"/>
  <c r="K325" i="2"/>
  <c r="N325" i="2" s="1"/>
  <c r="K268" i="2"/>
  <c r="Q224" i="2"/>
  <c r="Q163" i="2"/>
  <c r="M97" i="2"/>
  <c r="J73" i="2"/>
  <c r="M72" i="2"/>
  <c r="M63" i="2"/>
  <c r="J60" i="2"/>
  <c r="M60" i="2" s="1"/>
  <c r="M54" i="2"/>
  <c r="Q48" i="2"/>
  <c r="Q30" i="2"/>
  <c r="Q28" i="2"/>
  <c r="J22" i="2"/>
  <c r="M334" i="2"/>
  <c r="Q329" i="2"/>
  <c r="Q297" i="2"/>
  <c r="K214" i="2"/>
  <c r="N214" i="2" s="1"/>
  <c r="K212" i="2"/>
  <c r="N212" i="2" s="1"/>
  <c r="M207" i="2"/>
  <c r="Q198" i="2"/>
  <c r="Q166" i="2"/>
  <c r="Q141" i="2"/>
  <c r="Q121" i="2"/>
  <c r="Q69" i="2"/>
  <c r="Q68" i="2"/>
  <c r="J64" i="2"/>
  <c r="M34" i="2"/>
  <c r="M15" i="2"/>
  <c r="Q7" i="2"/>
  <c r="Q310" i="2"/>
  <c r="Q305" i="2"/>
  <c r="M301" i="2"/>
  <c r="M297" i="2"/>
  <c r="Q288" i="2"/>
  <c r="M284" i="2"/>
  <c r="Q268" i="2"/>
  <c r="M236" i="2"/>
  <c r="M198" i="2"/>
  <c r="Q308" i="2"/>
  <c r="Q304" i="2"/>
  <c r="J273" i="2"/>
  <c r="K273" i="2" s="1"/>
  <c r="Q300" i="2"/>
  <c r="K297" i="2"/>
  <c r="M288" i="2"/>
  <c r="Q287" i="2"/>
  <c r="Q283" i="2"/>
  <c r="Q265" i="2"/>
  <c r="Q133" i="2"/>
  <c r="Q125" i="2"/>
  <c r="Q86" i="2"/>
  <c r="Q54" i="2"/>
  <c r="Q233" i="2"/>
  <c r="Q226" i="2"/>
  <c r="M226" i="2"/>
  <c r="K224" i="2"/>
  <c r="K396" i="2"/>
  <c r="N396" i="2" s="1"/>
  <c r="M396" i="2"/>
  <c r="Q390" i="2"/>
  <c r="J251" i="2"/>
  <c r="K372" i="2"/>
  <c r="N372" i="2" s="1"/>
  <c r="M372" i="2"/>
  <c r="J249" i="2"/>
  <c r="K370" i="2"/>
  <c r="N370" i="2" s="1"/>
  <c r="M370" i="2"/>
  <c r="J248" i="2"/>
  <c r="K369" i="2"/>
  <c r="N369" i="2" s="1"/>
  <c r="M369" i="2"/>
  <c r="J246" i="2"/>
  <c r="K367" i="2"/>
  <c r="N367" i="2" s="1"/>
  <c r="M367" i="2"/>
  <c r="J245" i="2"/>
  <c r="K366" i="2"/>
  <c r="N366" i="2" s="1"/>
  <c r="M366" i="2"/>
  <c r="Q350" i="2"/>
  <c r="K350" i="2"/>
  <c r="N350" i="2" s="1"/>
  <c r="M350" i="2"/>
  <c r="K347" i="2"/>
  <c r="N347" i="2" s="1"/>
  <c r="M347" i="2"/>
  <c r="Q343" i="2"/>
  <c r="K332" i="2"/>
  <c r="N332" i="2" s="1"/>
  <c r="M332" i="2"/>
  <c r="Q330" i="2"/>
  <c r="K330" i="2"/>
  <c r="N330" i="2" s="1"/>
  <c r="Q321" i="2"/>
  <c r="K321" i="2"/>
  <c r="N321" i="2" s="1"/>
  <c r="M321" i="2"/>
  <c r="Q319" i="2"/>
  <c r="K319" i="2"/>
  <c r="N319" i="2" s="1"/>
  <c r="M319" i="2"/>
  <c r="Q317" i="2"/>
  <c r="K317" i="2"/>
  <c r="N317" i="2" s="1"/>
  <c r="M317" i="2"/>
  <c r="Q315" i="2"/>
  <c r="K315" i="2"/>
  <c r="N315" i="2" s="1"/>
  <c r="M315" i="2"/>
  <c r="Q386" i="2"/>
  <c r="M385" i="2"/>
  <c r="J256" i="2"/>
  <c r="Q346" i="2"/>
  <c r="K346" i="2"/>
  <c r="N346" i="2" s="1"/>
  <c r="M346" i="2"/>
  <c r="Q345" i="2"/>
  <c r="K345" i="2"/>
  <c r="N345" i="2" s="1"/>
  <c r="K340" i="2"/>
  <c r="N340" i="2" s="1"/>
  <c r="M340" i="2"/>
  <c r="Q331" i="2"/>
  <c r="K331" i="2"/>
  <c r="N331" i="2" s="1"/>
  <c r="M331" i="2"/>
  <c r="Q323" i="2"/>
  <c r="K323" i="2"/>
  <c r="N323" i="2" s="1"/>
  <c r="M323" i="2"/>
  <c r="Q396" i="2"/>
  <c r="K385" i="2"/>
  <c r="N385" i="2" s="1"/>
  <c r="Q384" i="2"/>
  <c r="K252" i="2"/>
  <c r="M252" i="2"/>
  <c r="Q252" i="2"/>
  <c r="K358" i="2"/>
  <c r="N358" i="2" s="1"/>
  <c r="M358" i="2"/>
  <c r="Q354" i="2"/>
  <c r="Q339" i="2"/>
  <c r="K339" i="2"/>
  <c r="N339" i="2" s="1"/>
  <c r="M339" i="2"/>
  <c r="Q327" i="2"/>
  <c r="K327" i="2"/>
  <c r="N327" i="2" s="1"/>
  <c r="M327" i="2"/>
  <c r="Q326" i="2"/>
  <c r="K326" i="2"/>
  <c r="N326" i="2" s="1"/>
  <c r="M326" i="2"/>
  <c r="Q322" i="2"/>
  <c r="K322" i="2"/>
  <c r="N322" i="2" s="1"/>
  <c r="M322" i="2"/>
  <c r="Q320" i="2"/>
  <c r="K320" i="2"/>
  <c r="N320" i="2" s="1"/>
  <c r="M320" i="2"/>
  <c r="Q318" i="2"/>
  <c r="K318" i="2"/>
  <c r="N318" i="2" s="1"/>
  <c r="M318" i="2"/>
  <c r="Q316" i="2"/>
  <c r="K316" i="2"/>
  <c r="N316" i="2" s="1"/>
  <c r="M316" i="2"/>
  <c r="K394" i="2"/>
  <c r="N394" i="2" s="1"/>
  <c r="M394" i="2"/>
  <c r="Q391" i="2"/>
  <c r="Q387" i="2"/>
  <c r="K384" i="2"/>
  <c r="N384" i="2" s="1"/>
  <c r="J260" i="2"/>
  <c r="J259" i="2"/>
  <c r="Q380" i="2"/>
  <c r="Q372" i="2"/>
  <c r="Q370" i="2"/>
  <c r="Q369" i="2"/>
  <c r="Q367" i="2"/>
  <c r="Q366" i="2"/>
  <c r="Q357" i="2"/>
  <c r="K357" i="2"/>
  <c r="N357" i="2" s="1"/>
  <c r="M357" i="2"/>
  <c r="Q356" i="2"/>
  <c r="K356" i="2"/>
  <c r="N356" i="2" s="1"/>
  <c r="K351" i="2"/>
  <c r="N351" i="2" s="1"/>
  <c r="M351" i="2"/>
  <c r="Q349" i="2"/>
  <c r="K349" i="2"/>
  <c r="N349" i="2" s="1"/>
  <c r="Q347" i="2"/>
  <c r="M345" i="2"/>
  <c r="Q332" i="2"/>
  <c r="K286" i="2"/>
  <c r="M286" i="2"/>
  <c r="K269" i="2"/>
  <c r="M269" i="2"/>
  <c r="J244" i="2"/>
  <c r="K183" i="2"/>
  <c r="N183" i="2" s="1"/>
  <c r="Q183" i="2"/>
  <c r="M183" i="2"/>
  <c r="K138" i="2"/>
  <c r="N138" i="2" s="1"/>
  <c r="Q138" i="2"/>
  <c r="M138" i="2"/>
  <c r="Q254" i="2"/>
  <c r="K254" i="2"/>
  <c r="Q242" i="2"/>
  <c r="K242" i="2"/>
  <c r="M308" i="2"/>
  <c r="M303" i="2"/>
  <c r="M302" i="2"/>
  <c r="K282" i="2"/>
  <c r="M254" i="2"/>
  <c r="K231" i="2"/>
  <c r="M231" i="2"/>
  <c r="K199" i="2"/>
  <c r="N199" i="2" s="1"/>
  <c r="Q199" i="2"/>
  <c r="Q200" i="2" s="1"/>
  <c r="M199" i="2"/>
  <c r="Q196" i="2"/>
  <c r="K383" i="2"/>
  <c r="N383" i="2" s="1"/>
  <c r="M261" i="2"/>
  <c r="Q261" i="2"/>
  <c r="Q379" i="2"/>
  <c r="M257" i="2"/>
  <c r="Q257" i="2"/>
  <c r="Q250" i="2"/>
  <c r="K250" i="2"/>
  <c r="Q247" i="2"/>
  <c r="K247" i="2"/>
  <c r="M247" i="2"/>
  <c r="K364" i="2"/>
  <c r="N364" i="2" s="1"/>
  <c r="K362" i="2"/>
  <c r="N362" i="2" s="1"/>
  <c r="M361" i="2"/>
  <c r="M328" i="2"/>
  <c r="M324" i="2"/>
  <c r="M309" i="2"/>
  <c r="M304" i="2"/>
  <c r="K302" i="2"/>
  <c r="J11" i="2"/>
  <c r="M250" i="2"/>
  <c r="K238" i="2"/>
  <c r="M238" i="2"/>
  <c r="K233" i="2"/>
  <c r="M233" i="2"/>
  <c r="M225" i="2"/>
  <c r="J227" i="2"/>
  <c r="K225" i="2"/>
  <c r="Q225" i="2"/>
  <c r="Q262" i="2"/>
  <c r="K262" i="2"/>
  <c r="Q258" i="2"/>
  <c r="K258" i="2"/>
  <c r="M375" i="2"/>
  <c r="M253" i="2"/>
  <c r="Q253" i="2"/>
  <c r="Q243" i="2"/>
  <c r="K243" i="2"/>
  <c r="M243" i="2"/>
  <c r="M363" i="2"/>
  <c r="M241" i="2"/>
  <c r="Q241" i="2"/>
  <c r="K361" i="2"/>
  <c r="N361" i="2" s="1"/>
  <c r="J307" i="2"/>
  <c r="M273" i="2"/>
  <c r="Q273" i="2"/>
  <c r="M281" i="2"/>
  <c r="Q281" i="2"/>
  <c r="Q286" i="2"/>
  <c r="Q269" i="2"/>
  <c r="M222" i="2"/>
  <c r="Q222" i="2"/>
  <c r="J228" i="2"/>
  <c r="K204" i="2"/>
  <c r="N204" i="2" s="1"/>
  <c r="M204" i="2"/>
  <c r="Q204" i="2"/>
  <c r="J205" i="2"/>
  <c r="Q10" i="2"/>
  <c r="M10" i="2"/>
  <c r="M287" i="2"/>
  <c r="M283" i="2"/>
  <c r="M270" i="2"/>
  <c r="M265" i="2"/>
  <c r="M255" i="2"/>
  <c r="M237" i="2"/>
  <c r="M223" i="2"/>
  <c r="K222" i="2"/>
  <c r="J217" i="2"/>
  <c r="K203" i="2"/>
  <c r="N203" i="2" s="1"/>
  <c r="M203" i="2"/>
  <c r="K168" i="2"/>
  <c r="N168" i="2" s="1"/>
  <c r="M168" i="2"/>
  <c r="M164" i="2"/>
  <c r="Q91" i="2"/>
  <c r="M91" i="2"/>
  <c r="J280" i="2"/>
  <c r="J232" i="2"/>
  <c r="M224" i="2"/>
  <c r="K223" i="2"/>
  <c r="K208" i="2"/>
  <c r="N208" i="2" s="1"/>
  <c r="M208" i="2"/>
  <c r="K206" i="2"/>
  <c r="N206" i="2" s="1"/>
  <c r="M206" i="2"/>
  <c r="K202" i="2"/>
  <c r="N202" i="2" s="1"/>
  <c r="M202" i="2"/>
  <c r="K135" i="2"/>
  <c r="N135" i="2" s="1"/>
  <c r="Q135" i="2"/>
  <c r="M135" i="2"/>
  <c r="K179" i="2"/>
  <c r="N179" i="2" s="1"/>
  <c r="Q179" i="2"/>
  <c r="M179" i="2"/>
  <c r="N176" i="2"/>
  <c r="K144" i="2"/>
  <c r="N144" i="2" s="1"/>
  <c r="Q144" i="2"/>
  <c r="M144" i="2"/>
  <c r="J146" i="2"/>
  <c r="N133" i="2"/>
  <c r="Q122" i="2"/>
  <c r="J114" i="2"/>
  <c r="M300" i="2"/>
  <c r="J279" i="2"/>
  <c r="K218" i="2"/>
  <c r="N218" i="2" s="1"/>
  <c r="M218" i="2"/>
  <c r="K213" i="2"/>
  <c r="N213" i="2" s="1"/>
  <c r="M213" i="2"/>
  <c r="K195" i="2"/>
  <c r="N195" i="2" s="1"/>
  <c r="N196" i="2" s="1"/>
  <c r="M195" i="2"/>
  <c r="M160" i="2"/>
  <c r="K145" i="2"/>
  <c r="N145" i="2" s="1"/>
  <c r="M145" i="2"/>
  <c r="M112" i="2"/>
  <c r="J167" i="2"/>
  <c r="M110" i="2"/>
  <c r="M106" i="2"/>
  <c r="M182" i="2"/>
  <c r="K181" i="2"/>
  <c r="N181" i="2" s="1"/>
  <c r="M178" i="2"/>
  <c r="M163" i="2"/>
  <c r="M153" i="2"/>
  <c r="M150" i="2"/>
  <c r="Q92" i="2"/>
  <c r="M92" i="2"/>
  <c r="Q182" i="2"/>
  <c r="Q178" i="2"/>
  <c r="M93" i="2"/>
  <c r="J137" i="2"/>
  <c r="J136" i="2"/>
  <c r="J29" i="2"/>
  <c r="J32" i="2"/>
  <c r="J31" i="2"/>
  <c r="Q90" i="2"/>
  <c r="J115" i="2"/>
  <c r="M90" i="2"/>
  <c r="J116" i="2"/>
  <c r="J113" i="2"/>
  <c r="M121" i="2"/>
  <c r="M102" i="2"/>
  <c r="M101" i="2"/>
  <c r="M100" i="2"/>
  <c r="Q33" i="2"/>
  <c r="M33" i="2"/>
  <c r="J36" i="2"/>
  <c r="J37" i="2"/>
  <c r="M23" i="2"/>
  <c r="Q23" i="2"/>
  <c r="Q102" i="2"/>
  <c r="Q101" i="2"/>
  <c r="Q100" i="2"/>
  <c r="J78" i="2"/>
  <c r="Q77" i="2"/>
  <c r="M8" i="2"/>
  <c r="Q8" i="2"/>
  <c r="Q45" i="2"/>
  <c r="M27" i="2"/>
  <c r="Q27" i="2"/>
  <c r="J40" i="2"/>
  <c r="M45" i="2"/>
  <c r="J50" i="2"/>
  <c r="Q29" i="2"/>
  <c r="M22" i="2"/>
  <c r="Q26" i="2"/>
  <c r="Q15" i="2"/>
  <c r="Q9" i="2"/>
  <c r="Q6" i="2"/>
  <c r="Q47" i="2"/>
  <c r="Q35" i="2"/>
  <c r="Q34" i="2"/>
  <c r="Q150" i="2" l="1"/>
  <c r="M282" i="2"/>
  <c r="K160" i="2"/>
  <c r="N160" i="2" s="1"/>
  <c r="K164" i="2"/>
  <c r="N164" i="2" s="1"/>
  <c r="Q60" i="2"/>
  <c r="K162" i="2"/>
  <c r="N162" i="2" s="1"/>
  <c r="M162" i="2"/>
  <c r="Q162" i="2"/>
  <c r="M161" i="2"/>
  <c r="K161" i="2"/>
  <c r="N161" i="2" s="1"/>
  <c r="Q161" i="2"/>
  <c r="M310" i="2"/>
  <c r="K310" i="2"/>
  <c r="K309" i="2"/>
  <c r="Q309" i="2"/>
  <c r="K141" i="2"/>
  <c r="N141" i="2" s="1"/>
  <c r="N142" i="2" s="1"/>
  <c r="M141" i="2"/>
  <c r="M73" i="2"/>
  <c r="Q73" i="2"/>
  <c r="Q64" i="2"/>
  <c r="M64" i="2"/>
  <c r="Q142" i="2"/>
  <c r="Q22" i="2"/>
  <c r="J149" i="2"/>
  <c r="Q40" i="2"/>
  <c r="M40" i="2"/>
  <c r="M113" i="2"/>
  <c r="K137" i="2"/>
  <c r="N137" i="2" s="1"/>
  <c r="M137" i="2"/>
  <c r="Q280" i="2"/>
  <c r="K280" i="2"/>
  <c r="M280" i="2"/>
  <c r="Q227" i="2"/>
  <c r="K227" i="2"/>
  <c r="M227" i="2"/>
  <c r="K244" i="2"/>
  <c r="M244" i="2"/>
  <c r="Q244" i="2"/>
  <c r="Q36" i="2"/>
  <c r="M36" i="2"/>
  <c r="Q31" i="2"/>
  <c r="M31" i="2"/>
  <c r="Q232" i="2"/>
  <c r="Q234" i="2" s="1"/>
  <c r="K232" i="2"/>
  <c r="M232" i="2"/>
  <c r="K205" i="2"/>
  <c r="N205" i="2" s="1"/>
  <c r="N209" i="2" s="1"/>
  <c r="M205" i="2"/>
  <c r="Q205" i="2"/>
  <c r="Q209" i="2" s="1"/>
  <c r="Q50" i="2"/>
  <c r="M50" i="2"/>
  <c r="M116" i="2"/>
  <c r="Q118" i="2"/>
  <c r="Q32" i="2"/>
  <c r="M32" i="2"/>
  <c r="Q167" i="2"/>
  <c r="K167" i="2"/>
  <c r="N167" i="2" s="1"/>
  <c r="M167" i="2"/>
  <c r="M114" i="2"/>
  <c r="Q147" i="2"/>
  <c r="N200" i="2"/>
  <c r="Q259" i="2"/>
  <c r="K259" i="2"/>
  <c r="M259" i="2"/>
  <c r="K256" i="2"/>
  <c r="M256" i="2"/>
  <c r="Q256" i="2"/>
  <c r="K248" i="2"/>
  <c r="M248" i="2"/>
  <c r="Q248" i="2"/>
  <c r="M249" i="2"/>
  <c r="Q249" i="2"/>
  <c r="K249" i="2"/>
  <c r="Q251" i="2"/>
  <c r="K251" i="2"/>
  <c r="M251" i="2"/>
  <c r="K136" i="2"/>
  <c r="N136" i="2" s="1"/>
  <c r="Q136" i="2"/>
  <c r="M136" i="2"/>
  <c r="M115" i="2"/>
  <c r="Q20" i="2"/>
  <c r="M78" i="2"/>
  <c r="Q78" i="2"/>
  <c r="M37" i="2"/>
  <c r="Q37" i="2"/>
  <c r="M29" i="2"/>
  <c r="Q279" i="2"/>
  <c r="K279" i="2"/>
  <c r="M279" i="2"/>
  <c r="M146" i="2"/>
  <c r="K146" i="2"/>
  <c r="N146" i="2" s="1"/>
  <c r="N147" i="2" s="1"/>
  <c r="K217" i="2"/>
  <c r="N217" i="2" s="1"/>
  <c r="N220" i="2" s="1"/>
  <c r="M217" i="2"/>
  <c r="Q217" i="2"/>
  <c r="Q220" i="2" s="1"/>
  <c r="K260" i="2"/>
  <c r="M260" i="2"/>
  <c r="Q260" i="2"/>
  <c r="M245" i="2"/>
  <c r="Q245" i="2"/>
  <c r="K245" i="2"/>
  <c r="Q246" i="2"/>
  <c r="K246" i="2"/>
  <c r="M246" i="2"/>
  <c r="J62" i="2"/>
  <c r="J53" i="2"/>
  <c r="J58" i="2"/>
  <c r="J71" i="2"/>
  <c r="J67" i="2"/>
  <c r="J81" i="2"/>
  <c r="J76" i="2"/>
  <c r="K228" i="2"/>
  <c r="Q228" i="2"/>
  <c r="M228" i="2"/>
  <c r="J180" i="2"/>
  <c r="Q307" i="2"/>
  <c r="K307" i="2"/>
  <c r="J311" i="2"/>
  <c r="M307" i="2"/>
  <c r="J278" i="2"/>
  <c r="M11" i="2"/>
  <c r="Q11" i="2"/>
  <c r="N139" i="2" l="1"/>
  <c r="Q24" i="2"/>
  <c r="Q51" i="2"/>
  <c r="M149" i="2"/>
  <c r="Q149" i="2"/>
  <c r="K149" i="2"/>
  <c r="N149" i="2" s="1"/>
  <c r="J152" i="2"/>
  <c r="Q311" i="2"/>
  <c r="K311" i="2"/>
  <c r="M311" i="2"/>
  <c r="M180" i="2"/>
  <c r="Q180" i="2"/>
  <c r="K180" i="2"/>
  <c r="N180" i="2" s="1"/>
  <c r="M71" i="2"/>
  <c r="J75" i="2"/>
  <c r="Q71" i="2"/>
  <c r="J74" i="2"/>
  <c r="J158" i="2"/>
  <c r="Q13" i="2"/>
  <c r="J79" i="2"/>
  <c r="Q76" i="2"/>
  <c r="J80" i="2"/>
  <c r="J159" i="2"/>
  <c r="M76" i="2"/>
  <c r="M58" i="2"/>
  <c r="Q58" i="2"/>
  <c r="J87" i="2"/>
  <c r="J155" i="2"/>
  <c r="J61" i="2"/>
  <c r="Q266" i="2"/>
  <c r="K278" i="2"/>
  <c r="M278" i="2"/>
  <c r="Q278" i="2"/>
  <c r="Q298" i="2" s="1"/>
  <c r="M81" i="2"/>
  <c r="Q81" i="2"/>
  <c r="J57" i="2"/>
  <c r="M53" i="2"/>
  <c r="J55" i="2"/>
  <c r="Q53" i="2"/>
  <c r="J154" i="2"/>
  <c r="Q139" i="2"/>
  <c r="Q38" i="2"/>
  <c r="M67" i="2"/>
  <c r="J70" i="2"/>
  <c r="Q67" i="2"/>
  <c r="J157" i="2"/>
  <c r="M62" i="2"/>
  <c r="Q62" i="2"/>
  <c r="J65" i="2"/>
  <c r="J66" i="2"/>
  <c r="J156" i="2"/>
  <c r="Q42" i="2"/>
  <c r="K152" i="2" l="1"/>
  <c r="N152" i="2" s="1"/>
  <c r="M152" i="2"/>
  <c r="Q152" i="2"/>
  <c r="N413" i="2"/>
  <c r="N417" i="2" s="1"/>
  <c r="K154" i="2"/>
  <c r="N154" i="2" s="1"/>
  <c r="M154" i="2"/>
  <c r="Q154" i="2"/>
  <c r="Q61" i="2"/>
  <c r="M61" i="2"/>
  <c r="Q159" i="2"/>
  <c r="K159" i="2"/>
  <c r="N159" i="2" s="1"/>
  <c r="M159" i="2"/>
  <c r="M66" i="2"/>
  <c r="Q66" i="2"/>
  <c r="M70" i="2"/>
  <c r="Q70" i="2"/>
  <c r="M57" i="2"/>
  <c r="Q57" i="2"/>
  <c r="Q155" i="2"/>
  <c r="K155" i="2"/>
  <c r="N155" i="2" s="1"/>
  <c r="M155" i="2"/>
  <c r="Q79" i="2"/>
  <c r="M79" i="2"/>
  <c r="Q158" i="2"/>
  <c r="K158" i="2"/>
  <c r="N158" i="2" s="1"/>
  <c r="M158" i="2"/>
  <c r="M75" i="2"/>
  <c r="Q75" i="2"/>
  <c r="M65" i="2"/>
  <c r="Q65" i="2"/>
  <c r="M157" i="2"/>
  <c r="Q157" i="2"/>
  <c r="K157" i="2"/>
  <c r="N157" i="2" s="1"/>
  <c r="Q55" i="2"/>
  <c r="M55" i="2"/>
  <c r="M87" i="2"/>
  <c r="Q87" i="2"/>
  <c r="M80" i="2"/>
  <c r="Q80" i="2"/>
  <c r="N185" i="2"/>
  <c r="N187" i="2" s="1"/>
  <c r="Q156" i="2"/>
  <c r="K156" i="2"/>
  <c r="N156" i="2" s="1"/>
  <c r="M156" i="2"/>
  <c r="M74" i="2"/>
  <c r="Q74" i="2"/>
  <c r="Q185" i="2"/>
  <c r="Q187" i="2" s="1"/>
  <c r="N169" i="2" l="1"/>
  <c r="N171" i="2" s="1"/>
  <c r="Q88" i="2"/>
  <c r="Q169" i="2"/>
  <c r="N127" i="2" l="1"/>
  <c r="Q171" i="2"/>
  <c r="Q127" i="2"/>
  <c r="Q190" i="2" l="1"/>
  <c r="O18" i="2"/>
  <c r="O411" i="2"/>
  <c r="N414" i="2"/>
  <c r="N415" i="2" s="1"/>
  <c r="O184" i="2"/>
  <c r="O95" i="2"/>
  <c r="O100" i="2"/>
  <c r="O94" i="2"/>
  <c r="O178" i="2"/>
  <c r="O72" i="2"/>
  <c r="O97" i="2"/>
  <c r="O86" i="2"/>
  <c r="O117" i="2"/>
  <c r="O9" i="2"/>
  <c r="O54" i="2"/>
  <c r="O19" i="2"/>
  <c r="O102" i="2"/>
  <c r="O35" i="2"/>
  <c r="O6" i="2"/>
  <c r="O47" i="2"/>
  <c r="O34" i="2"/>
  <c r="O49" i="2"/>
  <c r="O84" i="2"/>
  <c r="O5" i="2"/>
  <c r="O101" i="2"/>
  <c r="O85" i="2"/>
  <c r="O98" i="2"/>
  <c r="O68" i="2"/>
  <c r="O63" i="2"/>
  <c r="O7" i="2"/>
  <c r="O46" i="2"/>
  <c r="O41" i="2"/>
  <c r="O182" i="2"/>
  <c r="O99" i="2"/>
  <c r="O198" i="2"/>
  <c r="O30" i="2"/>
  <c r="O28" i="2"/>
  <c r="O82" i="2"/>
  <c r="O26" i="2"/>
  <c r="O83" i="2"/>
  <c r="O96" i="2"/>
  <c r="O15" i="2"/>
  <c r="O16" i="2"/>
  <c r="O48" i="2"/>
  <c r="O138" i="2"/>
  <c r="O59" i="2"/>
  <c r="O144" i="2"/>
  <c r="O91" i="2"/>
  <c r="O135" i="2"/>
  <c r="O239" i="2"/>
  <c r="O33" i="2"/>
  <c r="O90" i="2"/>
  <c r="O77" i="2"/>
  <c r="O27" i="2"/>
  <c r="O199" i="2"/>
  <c r="O17" i="2"/>
  <c r="O145" i="2"/>
  <c r="O112" i="2"/>
  <c r="O183" i="2"/>
  <c r="O20" i="2"/>
  <c r="O92" i="2"/>
  <c r="O181" i="2"/>
  <c r="O196" i="2"/>
  <c r="O179" i="2"/>
  <c r="O266" i="2"/>
  <c r="O37" i="2"/>
  <c r="O32" i="2"/>
  <c r="O136" i="2"/>
  <c r="O114" i="2"/>
  <c r="O118" i="2"/>
  <c r="O147" i="2"/>
  <c r="O200" i="2"/>
  <c r="O116" i="2"/>
  <c r="O40" i="2"/>
  <c r="O146" i="2"/>
  <c r="O137" i="2"/>
  <c r="O220" i="2"/>
  <c r="O13" i="2"/>
  <c r="O234" i="2"/>
  <c r="O31" i="2"/>
  <c r="O209" i="2"/>
  <c r="O29" i="2"/>
  <c r="O115" i="2"/>
  <c r="O50" i="2"/>
  <c r="O36" i="2"/>
  <c r="O113" i="2"/>
  <c r="O38" i="2"/>
  <c r="O76" i="2"/>
  <c r="O58" i="2"/>
  <c r="O53" i="2"/>
  <c r="O67" i="2"/>
  <c r="O81" i="2"/>
  <c r="O62" i="2"/>
  <c r="O71" i="2"/>
  <c r="O180" i="2"/>
  <c r="O298" i="2"/>
  <c r="O87" i="2"/>
  <c r="N190" i="2"/>
  <c r="O88" i="2"/>
</calcChain>
</file>

<file path=xl/sharedStrings.xml><?xml version="1.0" encoding="utf-8"?>
<sst xmlns="http://schemas.openxmlformats.org/spreadsheetml/2006/main" count="1316" uniqueCount="399">
  <si>
    <t>Marge</t>
  </si>
  <si>
    <t>ttc</t>
  </si>
  <si>
    <t>total achats heha + clés en mains</t>
  </si>
  <si>
    <t>total achats sous traitance</t>
  </si>
  <si>
    <t>U</t>
  </si>
  <si>
    <t>-</t>
  </si>
  <si>
    <t>Terrassement</t>
  </si>
  <si>
    <t>3000 L avec préfiltre et pompe</t>
  </si>
  <si>
    <t>Récuperateur eau de pluie</t>
  </si>
  <si>
    <t>Double flux en remplacement vmc simple</t>
  </si>
  <si>
    <t>VMC</t>
  </si>
  <si>
    <t>Plus value (lot de 10)</t>
  </si>
  <si>
    <t>Spot</t>
  </si>
  <si>
    <t>Électricité</t>
  </si>
  <si>
    <t>FABRICATION MAISON</t>
  </si>
  <si>
    <t>métal et marches chêne</t>
  </si>
  <si>
    <t>Escalier</t>
  </si>
  <si>
    <t>tout métal</t>
  </si>
  <si>
    <t>Baignoire</t>
  </si>
  <si>
    <t>receveur de douche 90x90</t>
  </si>
  <si>
    <t>RECEVEUR DE DOUCHE 80X120</t>
  </si>
  <si>
    <t xml:space="preserve">Lave Main complet </t>
  </si>
  <si>
    <t>Double vasque  avec Robinetterie</t>
  </si>
  <si>
    <t>Sèche serviette 500 W</t>
  </si>
  <si>
    <t>Bonde de douche</t>
  </si>
  <si>
    <t>Colonne de douche ADESIO ECO</t>
  </si>
  <si>
    <t>Receveur extra plat 80x80 KINESURF</t>
  </si>
  <si>
    <t>Siphon lavabo</t>
  </si>
  <si>
    <t>Mitigeur lavabo BAULOOP</t>
  </si>
  <si>
    <t>Vasques sur meuble de 80 cm avec miroir et bandeau lumineux à choisir dans notre gamme</t>
  </si>
  <si>
    <t>Ballon eau chaude 200L thermodynamique</t>
  </si>
  <si>
    <t>Sanitaire</t>
  </si>
  <si>
    <t>double énergie (plus value pour chauffage gaz)</t>
  </si>
  <si>
    <t>Sèche serviette</t>
  </si>
  <si>
    <t>supplémentaire</t>
  </si>
  <si>
    <t>Sortie poêle à granules</t>
  </si>
  <si>
    <t>Poêle à granules</t>
  </si>
  <si>
    <t>Chauffage</t>
  </si>
  <si>
    <t>ML</t>
  </si>
  <si>
    <t>acier à câbles inox</t>
  </si>
  <si>
    <t>Garde corps</t>
  </si>
  <si>
    <t>acier remplissage verre</t>
  </si>
  <si>
    <t>barreaudage vertical</t>
  </si>
  <si>
    <t>barreaudage horizontal</t>
  </si>
  <si>
    <t>M2</t>
  </si>
  <si>
    <t>composite</t>
  </si>
  <si>
    <t>Terrasse rdc</t>
  </si>
  <si>
    <t>pin autoclavé classe IV</t>
  </si>
  <si>
    <t>Terrasse toiture</t>
  </si>
  <si>
    <t>Terrasse</t>
  </si>
  <si>
    <t>bardage</t>
  </si>
  <si>
    <t>Peinture</t>
  </si>
  <si>
    <t>coloré</t>
  </si>
  <si>
    <t>Saturateur</t>
  </si>
  <si>
    <t>incolore</t>
  </si>
  <si>
    <t>Bardage</t>
  </si>
  <si>
    <t>2400x2000</t>
  </si>
  <si>
    <t>Porte de garage</t>
  </si>
  <si>
    <t>3000x2000</t>
  </si>
  <si>
    <t>900x2150</t>
  </si>
  <si>
    <t>Porte de service</t>
  </si>
  <si>
    <t>ouvrant exterieur 1000x2150 alu</t>
  </si>
  <si>
    <t>Porte d’entrée</t>
  </si>
  <si>
    <t>ouvrant exterieur 900x2150 alu</t>
  </si>
  <si>
    <t>1200x450 sans VR</t>
  </si>
  <si>
    <t>Chassis Fixe</t>
  </si>
  <si>
    <t>1600x2150 avec VR</t>
  </si>
  <si>
    <t>Porte fenêtre</t>
  </si>
  <si>
    <t>2000x2150 avec VR</t>
  </si>
  <si>
    <t>Baie coulissante</t>
  </si>
  <si>
    <t>3000x2150 avec VR</t>
  </si>
  <si>
    <t>1400x950 avec VR</t>
  </si>
  <si>
    <t>Fenêtre coulissante</t>
  </si>
  <si>
    <t>1400x1050 avec VR</t>
  </si>
  <si>
    <t>1600x850 avec VR</t>
  </si>
  <si>
    <t>1600x1050 avec VR</t>
  </si>
  <si>
    <t>1800x1250 avec VR</t>
  </si>
  <si>
    <t>2400x850 avec VR</t>
  </si>
  <si>
    <t>500x650 avec VR</t>
  </si>
  <si>
    <t>Fenêtre</t>
  </si>
  <si>
    <t>900x1050 avec VR</t>
  </si>
  <si>
    <t>900x1250 avec VR</t>
  </si>
  <si>
    <t>1600x1250 avec VR</t>
  </si>
  <si>
    <t>Menuiserie extérieures</t>
  </si>
  <si>
    <t xml:space="preserve"> </t>
  </si>
  <si>
    <t>FOURNISSEUR</t>
  </si>
  <si>
    <t>3eme Niveau</t>
  </si>
  <si>
    <t>2eme Niveau</t>
  </si>
  <si>
    <t>1er Niveau</t>
  </si>
  <si>
    <t>-choisir-</t>
  </si>
  <si>
    <t>Nomenclature</t>
  </si>
  <si>
    <t>recap pour validite</t>
  </si>
  <si>
    <t xml:space="preserve">OPTION </t>
  </si>
  <si>
    <t>CHAUFFAGE</t>
  </si>
  <si>
    <t>chauffage</t>
  </si>
  <si>
    <t>Intérieur</t>
  </si>
  <si>
    <t>Ens</t>
  </si>
  <si>
    <t>CHAUFFAGE EAU THERMO EDEL AIR 250L</t>
  </si>
  <si>
    <t>Sans système de chauffage</t>
  </si>
  <si>
    <t>radiateurs électriques</t>
  </si>
  <si>
    <t>Poêle à bois</t>
  </si>
  <si>
    <t>Radiateur + Chauffe eaux Nouméa</t>
  </si>
  <si>
    <t>Pompe à chaleur Atlantic</t>
  </si>
  <si>
    <t>Poêle à granules Invicta (fourni posé)</t>
  </si>
  <si>
    <t>Chaudière gaz DeDietrich + accessoires</t>
  </si>
  <si>
    <t>Kit 3KW Photovoltaïques</t>
  </si>
  <si>
    <t>PV</t>
  </si>
  <si>
    <t>Apppareillages</t>
  </si>
  <si>
    <t>Electricité</t>
  </si>
  <si>
    <t>Détecteur de fumée Hager ou similaire.</t>
  </si>
  <si>
    <t>détecteur</t>
  </si>
  <si>
    <t>VMC hygro de type B comprenant : ligne d’alimentation, protection integrée dans le tableau électrique, sélecteur de vitesse dans la cuisine, bouches de ventilations</t>
  </si>
  <si>
    <t>indicateur de consommation électrique EC453 (RT2012)</t>
  </si>
  <si>
    <t>Coffret</t>
  </si>
  <si>
    <t>carillon deux tons compris bouton poussoir</t>
  </si>
  <si>
    <t>Prise de terre générale en cuivre 25mm2 compris barète de mesure</t>
  </si>
  <si>
    <t>Fourniture du certificat CONSUEL</t>
  </si>
  <si>
    <t>Liaison équipotentielle</t>
  </si>
  <si>
    <t>Appareillage</t>
  </si>
  <si>
    <t>tableau de communication Grade 3 TV type TN415 2/8 RJ45</t>
  </si>
  <si>
    <t>tableau électrique monophasé (surface habitable &gt;150m2)</t>
  </si>
  <si>
    <t>tableau électrique monophasé (surface habitable &lt;150m2)</t>
  </si>
  <si>
    <t>tableau électrique monophasé (surface habitable &lt;120m2)</t>
  </si>
  <si>
    <t>tableau électrique monophasé (surface habitable &lt;90m2)</t>
  </si>
  <si>
    <t>tableau électrique monophasé (surface habitable &lt;60m2)</t>
  </si>
  <si>
    <t>tableau électrique monophasé (surface habitable &lt;30m2)</t>
  </si>
  <si>
    <t xml:space="preserve">Commande de volets-roulants interrupteur </t>
  </si>
  <si>
    <t>prise pompe à chaleur</t>
  </si>
  <si>
    <t>Prise poêle a granule</t>
  </si>
  <si>
    <t>Prise chaudière</t>
  </si>
  <si>
    <t>prise Chauffe eau</t>
  </si>
  <si>
    <t>prise VMC</t>
  </si>
  <si>
    <t>sortie de cable hotte</t>
  </si>
  <si>
    <t>sortie de cable four</t>
  </si>
  <si>
    <t>sortie de cable plaque induction</t>
  </si>
  <si>
    <t>sortie de cable radiateur</t>
  </si>
  <si>
    <t>Interrupteurs</t>
  </si>
  <si>
    <t>Prises TV</t>
  </si>
  <si>
    <t>Prises RJ45</t>
  </si>
  <si>
    <t>Prises 2p+t</t>
  </si>
  <si>
    <t>Points lumineux</t>
  </si>
  <si>
    <t>Cuvette WC  en grès blanc, suspendu, réservoir de chasse à double commandes (3 et 6 litres) attenant,  abattant douche blanc, robinet d'arrêt, mécanisme silencieux à bouton poussoir selon notre gamme.</t>
  </si>
  <si>
    <t>instalation</t>
  </si>
  <si>
    <t>wc suspendu</t>
  </si>
  <si>
    <t>Plomberie</t>
  </si>
  <si>
    <t>Cuvette WC  en grès blanc, posée au sol, réservoir de chasse à double commandes (3 et 6 litres) attenant,  abattant douche blanc, robinet d'arrêt, mécanisme silencieux à bouton poussoir selon notre gamme.</t>
  </si>
  <si>
    <t>wc posé</t>
  </si>
  <si>
    <t>installation nourrice cout global</t>
  </si>
  <si>
    <t>salle de bain</t>
  </si>
  <si>
    <t>m2</t>
  </si>
  <si>
    <t>sans peinture ni impression</t>
  </si>
  <si>
    <t>mur</t>
  </si>
  <si>
    <t>sans peinture</t>
  </si>
  <si>
    <t>Revetement</t>
  </si>
  <si>
    <t>Impression</t>
  </si>
  <si>
    <t>impression plus 2 couches peinture</t>
  </si>
  <si>
    <t>impression</t>
  </si>
  <si>
    <t>impression mur</t>
  </si>
  <si>
    <t>Pose Carrelage max 40*40</t>
  </si>
  <si>
    <t>Main œuvre pose</t>
  </si>
  <si>
    <t>Sol</t>
  </si>
  <si>
    <t xml:space="preserve">Pose PVC </t>
  </si>
  <si>
    <t>Pose Stratifié loc floor</t>
  </si>
  <si>
    <t>Us</t>
  </si>
  <si>
    <t>2,2 ml</t>
  </si>
  <si>
    <t xml:space="preserve">Plinthe carrelage </t>
  </si>
  <si>
    <t xml:space="preserve">Plinthe bois </t>
  </si>
  <si>
    <t>Sous-couche stratifé</t>
  </si>
  <si>
    <t>Sous couche</t>
  </si>
  <si>
    <t>Plinthe</t>
  </si>
  <si>
    <t>Pas de revêtement de sol ni chape</t>
  </si>
  <si>
    <t xml:space="preserve">CARRELAGE </t>
  </si>
  <si>
    <t>Pas de revêtement de sol (chape uniquement)</t>
  </si>
  <si>
    <t>Carrelage</t>
  </si>
  <si>
    <t xml:space="preserve">PVC </t>
  </si>
  <si>
    <t>Stratifié loc floor</t>
  </si>
  <si>
    <t>Stratifié</t>
  </si>
  <si>
    <t>Seuil</t>
  </si>
  <si>
    <t>Menuiserie</t>
  </si>
  <si>
    <t>BARRE DE SEUIL 73</t>
  </si>
  <si>
    <t>POIGNNE DE PORTES</t>
  </si>
  <si>
    <t>Poignée</t>
  </si>
  <si>
    <t>Plus-value pour poignées et serrures Hope : à clé</t>
  </si>
  <si>
    <t>Plus-value pour poignées et serrures Hope : à condamnation</t>
  </si>
  <si>
    <t>Porte isoplane galandage 83</t>
  </si>
  <si>
    <t xml:space="preserve">PI Battante </t>
  </si>
  <si>
    <t>fourniture et pose d’un bloc porte alvéolaire Isogyl prépeinte, huisserie pour cloison finie de 70, de type isoplane Moderna 83x204 avec bequillage alu et ajustement final</t>
  </si>
  <si>
    <t>PI Battante  83</t>
  </si>
  <si>
    <t>Porte isoplane galandage 73</t>
  </si>
  <si>
    <t>fourniture et pose d’un bloc porte alvéolaire Isogyl prépeinte, huisserie pour cloison finie de 70, de type isoplane Moderna 73x204 avec bequillage alu et ajustement final</t>
  </si>
  <si>
    <t>PI Battante  73</t>
  </si>
  <si>
    <t>Menuiserie     INT</t>
  </si>
  <si>
    <t>Plus-value pour plaques ignifugés</t>
  </si>
  <si>
    <t>cloisons</t>
  </si>
  <si>
    <t>placo</t>
  </si>
  <si>
    <t>Interieur</t>
  </si>
  <si>
    <t>Plus-value pour plaques hydrofuges dans pièces humides</t>
  </si>
  <si>
    <t>Fourniture et pose de cloisons de distribution type Placostyl72/48 montées sur rails et montants doubles tous les 60cm d’entraxe, 2 plaques de ba13 en parement, laine de verre de 40mm, traitement des joint par bande et enduit lissé</t>
  </si>
  <si>
    <t xml:space="preserve">Fourniture et pose d’une isolation en laine de verre épaisseur 60mm </t>
  </si>
  <si>
    <t>doublage</t>
  </si>
  <si>
    <t>Fourniture et pose d’un doublage en BA13 sur une ossature métallique de type r48 et m48 doublés</t>
  </si>
  <si>
    <t>Fourniture et pose d’une isolation en laine de verre épaisseur 100mm</t>
  </si>
  <si>
    <t>plafond</t>
  </si>
  <si>
    <r>
      <rPr>
        <sz val="11"/>
        <color rgb="FF000000"/>
        <rFont val="Calibri"/>
        <family val="2"/>
      </rPr>
      <t xml:space="preserve">Fourniture et pose d’un plafond en BA13 sur une ossature métallique de type r48 et m48 doublés </t>
    </r>
    <r>
      <rPr>
        <sz val="10"/>
        <color rgb="FF000000"/>
        <rFont val="Arial"/>
        <family val="2"/>
      </rPr>
      <t>( Hauteur finie sous plafond : 2,48 m).</t>
    </r>
  </si>
  <si>
    <t>Placo</t>
  </si>
  <si>
    <t>Pas de chape</t>
  </si>
  <si>
    <t>Film, Bande et Chap Anhydrite</t>
  </si>
  <si>
    <t xml:space="preserve">Chape liquide </t>
  </si>
  <si>
    <t>Chape</t>
  </si>
  <si>
    <t>u</t>
  </si>
  <si>
    <t>plots beton</t>
  </si>
  <si>
    <t xml:space="preserve">fondation </t>
  </si>
  <si>
    <t>fondation</t>
  </si>
  <si>
    <t>Fondation</t>
  </si>
  <si>
    <t>marge</t>
  </si>
  <si>
    <t xml:space="preserve">TOTAL </t>
  </si>
  <si>
    <t>total temps</t>
  </si>
  <si>
    <t>total achats HEHA</t>
  </si>
  <si>
    <t>déplacement sur site</t>
  </si>
  <si>
    <t xml:space="preserve">Prestation </t>
  </si>
  <si>
    <t>Couverture</t>
  </si>
  <si>
    <t>Extérieur</t>
  </si>
  <si>
    <t>cross passage cable diametre 85mm</t>
  </si>
  <si>
    <t>TP PVC diam 40mm</t>
  </si>
  <si>
    <t>Evacuation</t>
  </si>
  <si>
    <t>NEP PVC 80*80</t>
  </si>
  <si>
    <t>sortie VMC, ballon thermodynamique, ventilation</t>
  </si>
  <si>
    <t>Etanchéité</t>
  </si>
  <si>
    <t>ml</t>
  </si>
  <si>
    <t>Relevés</t>
  </si>
  <si>
    <t>Partie courante</t>
  </si>
  <si>
    <t>Etancheité</t>
  </si>
  <si>
    <t>permis de construire</t>
  </si>
  <si>
    <t>conception</t>
  </si>
  <si>
    <t>Client</t>
  </si>
  <si>
    <t>accessoire étage (isolation, jupe, jupe intermediaire)</t>
  </si>
  <si>
    <t>Métal Tôles</t>
  </si>
  <si>
    <t>Chantier</t>
  </si>
  <si>
    <t>suivi menuiserie jointage</t>
  </si>
  <si>
    <t>suivi menuiserie joiontage</t>
  </si>
  <si>
    <t xml:space="preserve">Porte d’entrée OI </t>
  </si>
  <si>
    <t>3,8*2,150</t>
  </si>
  <si>
    <t xml:space="preserve">Porte fenêtre A VR </t>
  </si>
  <si>
    <t>2,4*2,150</t>
  </si>
  <si>
    <t>2,2*2,150</t>
  </si>
  <si>
    <t>1,8*2,150</t>
  </si>
  <si>
    <t>1,4*2,150</t>
  </si>
  <si>
    <t>Bois claire- voie Douglas vertical</t>
  </si>
  <si>
    <t>Bois</t>
  </si>
  <si>
    <t>chantier</t>
  </si>
  <si>
    <t>Bardage Bois Gimeo Douglas</t>
  </si>
  <si>
    <t>Hpl compact Trespa</t>
  </si>
  <si>
    <t>bardage compact</t>
  </si>
  <si>
    <t>Bois claire- voie Douglas horizontal</t>
  </si>
  <si>
    <t>bardage bois</t>
  </si>
  <si>
    <t>Cassette Iroise</t>
  </si>
  <si>
    <t>bardage metal</t>
  </si>
  <si>
    <t>Tôles ondulées Nerba</t>
  </si>
  <si>
    <t>jupes</t>
  </si>
  <si>
    <t>jointage</t>
  </si>
  <si>
    <t>mousse</t>
  </si>
  <si>
    <t xml:space="preserve">jointage </t>
  </si>
  <si>
    <t>frais fixe mise en place</t>
  </si>
  <si>
    <t>installation</t>
  </si>
  <si>
    <t>grue</t>
  </si>
  <si>
    <t>conteneur 20 Pied (40 coupé en deux)</t>
  </si>
  <si>
    <t>Container 20 Pieds</t>
  </si>
  <si>
    <t>Container</t>
  </si>
  <si>
    <t>conteneur 40 high cube + transport</t>
  </si>
  <si>
    <t>Container 40 Pieds</t>
  </si>
  <si>
    <t>Fixations panne et panneaux (vis mousse pu…)</t>
  </si>
  <si>
    <t>Panneaux Sandwich</t>
  </si>
  <si>
    <t>Isolation Sol</t>
  </si>
  <si>
    <t>Pannes K 3750mm</t>
  </si>
  <si>
    <t>Panneaux isolant PU épaisseur 100 mm</t>
  </si>
  <si>
    <t>Isolation de Sol</t>
  </si>
  <si>
    <t>levage</t>
  </si>
  <si>
    <t>Structure</t>
  </si>
  <si>
    <t>Levage</t>
  </si>
  <si>
    <t>Coiffe</t>
  </si>
  <si>
    <t>Habillages</t>
  </si>
  <si>
    <t>adaptateur PVC pour raccordement tuyau de descente</t>
  </si>
  <si>
    <t>Descente alu laqué RAL 7016 60*80</t>
  </si>
  <si>
    <t>Boites à eaux 200*200*200</t>
  </si>
  <si>
    <t>évacuation eau</t>
  </si>
  <si>
    <t>panneau de chantier</t>
  </si>
  <si>
    <t>panneaux de chantier</t>
  </si>
  <si>
    <t>administratif</t>
  </si>
  <si>
    <t>etude thermique</t>
  </si>
  <si>
    <t>eétude thermique</t>
  </si>
  <si>
    <t>étude et création projet</t>
  </si>
  <si>
    <t>étude et création</t>
  </si>
  <si>
    <t>Concessionnaire</t>
  </si>
  <si>
    <t>Déplacement des équipes pour formation</t>
  </si>
  <si>
    <t>formation</t>
  </si>
  <si>
    <t>formation pose</t>
  </si>
  <si>
    <t>Transport</t>
  </si>
  <si>
    <t>conteneur 40 Pied</t>
  </si>
  <si>
    <t>chargement Containers</t>
  </si>
  <si>
    <t>Fixations VR sur menuiserie</t>
  </si>
  <si>
    <t>Fixations</t>
  </si>
  <si>
    <t>Pattes métallique jonction menuiserie/VR 70/110</t>
  </si>
  <si>
    <t>Silicone ral7016 finition menuiserie/VR</t>
  </si>
  <si>
    <t>MASTIC</t>
  </si>
  <si>
    <t>Translucide étanchéité menuiserie/VR</t>
  </si>
  <si>
    <t>Rlx</t>
  </si>
  <si>
    <t>15/4-9mm rouleau 8m</t>
  </si>
  <si>
    <t>COMPRIBANDE</t>
  </si>
  <si>
    <t>Encadrements de baies + bavettes + angles</t>
  </si>
  <si>
    <t xml:space="preserve">Chassis FIXE sans VR </t>
  </si>
  <si>
    <t xml:space="preserve">Fenêtre A VR </t>
  </si>
  <si>
    <t xml:space="preserve">Fenêtre S VR </t>
  </si>
  <si>
    <t>L600XH1950</t>
  </si>
  <si>
    <t>3,8*2150</t>
  </si>
  <si>
    <t>vr</t>
  </si>
  <si>
    <t>1,6*1,050</t>
  </si>
  <si>
    <t>1,2*1,050</t>
  </si>
  <si>
    <t>1,2*1,250</t>
  </si>
  <si>
    <t>0,6*0,85</t>
  </si>
  <si>
    <t>Menuiserie PVC</t>
  </si>
  <si>
    <t>Menuiserie EXT</t>
  </si>
  <si>
    <t>LDL Lame de départ de pose horizontale</t>
  </si>
  <si>
    <t>Métal Lames</t>
  </si>
  <si>
    <t>epine</t>
  </si>
  <si>
    <t>Angles Ext</t>
  </si>
  <si>
    <t>Angles Int</t>
  </si>
  <si>
    <t xml:space="preserve">Bavette </t>
  </si>
  <si>
    <t>pas de bardage</t>
  </si>
  <si>
    <t>Pare pluie pour bardage bois claire voie</t>
  </si>
  <si>
    <t>Clou Hilti inox pour bardage avec gaz)</t>
  </si>
  <si>
    <t>Fixation</t>
  </si>
  <si>
    <t>VIS Bois pour 1/2 chevrons et tasseaux</t>
  </si>
  <si>
    <t>M3</t>
  </si>
  <si>
    <t>1/2 Chevrons horizontaux pour claire voie vertical</t>
  </si>
  <si>
    <t>Ossatures Secondaires</t>
  </si>
  <si>
    <t>Pare pluie pour bardage acier</t>
  </si>
  <si>
    <t>1/2 Chevrons 38 x 60 gimeo</t>
  </si>
  <si>
    <t>1/2 Chevrons 38 x 60 Hpl compact (attention dépend du calepinage)</t>
  </si>
  <si>
    <t>1/2 Chevrons 38 x 60 teinté gris pour claire voie</t>
  </si>
  <si>
    <t>1/2 Chevrons 38 x 60 cassette iroise</t>
  </si>
  <si>
    <t>Vis Bois 4,9 x 35 Colorvis RAL pour nerba</t>
  </si>
  <si>
    <t>tasseaux horizontaux pour nerba</t>
  </si>
  <si>
    <t xml:space="preserve">Vis Bois Diam 5x50 </t>
  </si>
  <si>
    <t>vis bois 120x6</t>
  </si>
  <si>
    <t>structure relevé</t>
  </si>
  <si>
    <t>OSB 18mm</t>
  </si>
  <si>
    <t>Support Relevé</t>
  </si>
  <si>
    <t>Bastaing 150 x 63</t>
  </si>
  <si>
    <t>Support d'étanchéité</t>
  </si>
  <si>
    <t>Charpente</t>
  </si>
  <si>
    <t>Laine de bois 12cm</t>
  </si>
  <si>
    <t>Isolation</t>
  </si>
  <si>
    <t>laine de bois 12cm+10cm</t>
  </si>
  <si>
    <t>Vis métal Auto Perf Hexa 4,8x19 10mm</t>
  </si>
  <si>
    <t>Ossature</t>
  </si>
  <si>
    <t>Vis Bois Diam 5x50 Tête Bombé Spax</t>
  </si>
  <si>
    <t>Equerres de Charpente renforcé pignon</t>
  </si>
  <si>
    <t>Equerres de Charpente 105x105x90 Ep 3mm sup claire voie vertical</t>
  </si>
  <si>
    <t>Equerres de Charpente 105x105x90 Ep 3mm</t>
  </si>
  <si>
    <t>60x40 ossature fenetre</t>
  </si>
  <si>
    <t>ossature fenetre</t>
  </si>
  <si>
    <t>Osb 19 ossature fenetre</t>
  </si>
  <si>
    <t>ossature horizontale sup</t>
  </si>
  <si>
    <t>ossature verticale angle</t>
  </si>
  <si>
    <t>ossature horizontale</t>
  </si>
  <si>
    <t>MBOC Sapin sec CL2 R4F 45x95mm</t>
  </si>
  <si>
    <t>ossature verticale</t>
  </si>
  <si>
    <t>Déplacement mise a niveau</t>
  </si>
  <si>
    <t>Grutage</t>
  </si>
  <si>
    <t>Transport 20 pied</t>
  </si>
  <si>
    <t>Transport 40 pied</t>
  </si>
  <si>
    <t>Containers</t>
  </si>
  <si>
    <t>Ouverture pompe chaleur</t>
  </si>
  <si>
    <t>ouverture poele a granule</t>
  </si>
  <si>
    <t>ouverture chaudiere gaz</t>
  </si>
  <si>
    <t>DECOUPE et renfort 20 pieds</t>
  </si>
  <si>
    <t>Buse et Boite electrode</t>
  </si>
  <si>
    <t>Découpe</t>
  </si>
  <si>
    <t>DECOUPE 40 pieds</t>
  </si>
  <si>
    <t>Upn 80 12m</t>
  </si>
  <si>
    <t>renfort demi-conteneur</t>
  </si>
  <si>
    <t>renfort</t>
  </si>
  <si>
    <t>Upn 200 12m</t>
  </si>
  <si>
    <t>renfort horizontal</t>
  </si>
  <si>
    <t>Renforts Verticaux 45x45x3 3m</t>
  </si>
  <si>
    <t>renfort vertical</t>
  </si>
  <si>
    <t xml:space="preserve">Renforts / Découpe </t>
  </si>
  <si>
    <t>Les prix d’achat doivent être mentionnés HT frais compris (transport , emballage…)</t>
  </si>
  <si>
    <t>Coût MO</t>
  </si>
  <si>
    <t>total H MO</t>
  </si>
  <si>
    <t>MO unitaire</t>
  </si>
  <si>
    <t>Euro</t>
  </si>
  <si>
    <t>Quantité avec Pertes</t>
  </si>
  <si>
    <t>% de Pertes</t>
  </si>
  <si>
    <t>Prix Hors pertes</t>
  </si>
  <si>
    <t>Quantité Unitaire</t>
  </si>
  <si>
    <t>Unité</t>
  </si>
  <si>
    <t>Prix Unitaire</t>
  </si>
  <si>
    <t>Désignation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</si>
</sst>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\ [$€-40C];[Red]\-#,##0.00\ [$€-40C]"/>
    <numFmt numFmtId="165" formatCode="#,##0.###"/>
    <numFmt numFmtId="166" formatCode="#,##0.00&quot; €&quot;"/>
    <numFmt numFmtId="167" formatCode="[hh]:mm"/>
    <numFmt numFmtId="168" formatCode="0.00\ %"/>
    <numFmt numFmtId="169" formatCode="0\ %"/>
    <numFmt numFmtId="171" formatCode="\+#,##0\ [$€ TTC/M²-40C];[Red]\-#,##0\ [$€ TTC/M²-40C]"/>
    <numFmt numFmtId="172" formatCode="\+#,##0\ [$€ TTC-40C];[Red]\-#,##0\ [$€ TTC-40C]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808080"/>
      <name val="Calibri"/>
      <family val="2"/>
    </font>
    <font>
      <b/>
      <sz val="10"/>
      <name val="Arial"/>
      <family val="2"/>
    </font>
    <font>
      <b/>
      <sz val="15"/>
      <color rgb="FF000000"/>
      <name val="Calibri"/>
      <family val="2"/>
    </font>
    <font>
      <sz val="10"/>
      <color rgb="FF000000"/>
      <name val="Arial"/>
      <family val="2"/>
    </font>
    <font>
      <sz val="9"/>
      <color rgb="FF000000"/>
      <name val="Calibri"/>
      <family val="2"/>
    </font>
    <font>
      <sz val="20"/>
      <name val="Arial"/>
      <family val="2"/>
    </font>
    <font>
      <b/>
      <sz val="20"/>
      <color rgb="FF000000"/>
      <name val="Calibri"/>
      <family val="2"/>
    </font>
    <font>
      <sz val="16"/>
      <name val="Arial"/>
      <family val="2"/>
    </font>
    <font>
      <b/>
      <sz val="16"/>
      <color rgb="FF000000"/>
      <name val="Calibri"/>
      <family val="2"/>
    </font>
    <font>
      <sz val="54"/>
      <color rgb="FF000000"/>
      <name val="Calibri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6"/>
      <color rgb="FF000000"/>
      <name val="Calibri"/>
      <family val="2"/>
    </font>
    <font>
      <b/>
      <sz val="14"/>
      <color rgb="FFFF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E0E0E0"/>
        <bgColor rgb="FFDDDDDD"/>
      </patternFill>
    </fill>
    <fill>
      <patternFill patternType="solid">
        <fgColor rgb="FFB2EBF2"/>
        <bgColor rgb="FFAEEFEE"/>
      </patternFill>
    </fill>
    <fill>
      <patternFill patternType="solid">
        <fgColor rgb="FFFBC02D"/>
        <bgColor rgb="FFFFB029"/>
      </patternFill>
    </fill>
    <fill>
      <patternFill patternType="darkGray">
        <fgColor rgb="FFAEEFEE"/>
        <bgColor rgb="FFB2EBF2"/>
      </patternFill>
    </fill>
    <fill>
      <patternFill patternType="solid">
        <fgColor rgb="FFFFFF00"/>
        <bgColor rgb="FFFFF200"/>
      </patternFill>
    </fill>
    <fill>
      <patternFill patternType="solid">
        <fgColor rgb="FFFFAB40"/>
        <bgColor rgb="FFFFB029"/>
      </patternFill>
    </fill>
    <fill>
      <patternFill patternType="solid">
        <fgColor rgb="FFC0C0C0"/>
        <bgColor rgb="FFCCCCCC"/>
      </patternFill>
    </fill>
    <fill>
      <patternFill patternType="solid">
        <fgColor rgb="FFFFF200"/>
        <bgColor rgb="FFFFFF00"/>
      </patternFill>
    </fill>
    <fill>
      <patternFill patternType="solid">
        <fgColor rgb="FFFFE4E1"/>
        <bgColor rgb="FFFFD7D7"/>
      </patternFill>
    </fill>
    <fill>
      <patternFill patternType="solid">
        <fgColor rgb="FFDDDDDD"/>
        <bgColor rgb="FFE0E0E0"/>
      </patternFill>
    </fill>
    <fill>
      <patternFill patternType="solid">
        <fgColor rgb="FFDDE8CB"/>
        <bgColor rgb="FFE0E0E0"/>
      </patternFill>
    </fill>
    <fill>
      <patternFill patternType="solid">
        <fgColor rgb="FFF7D1D5"/>
        <bgColor rgb="FFFFCDD2"/>
      </patternFill>
    </fill>
    <fill>
      <patternFill patternType="solid">
        <fgColor rgb="FFCCF4C6"/>
        <bgColor rgb="FFCCFFCC"/>
      </patternFill>
    </fill>
    <fill>
      <patternFill patternType="solid">
        <fgColor rgb="FFFAFAD2"/>
        <bgColor rgb="FFFFFFCC"/>
      </patternFill>
    </fill>
    <fill>
      <patternFill patternType="solid">
        <fgColor rgb="FFEEEEEE"/>
        <bgColor rgb="FFE5E5E5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81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165" fontId="2" fillId="0" borderId="0" xfId="1" applyNumberFormat="1" applyFont="1" applyAlignment="1">
      <alignment horizontal="righ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164" fontId="1" fillId="0" borderId="0" xfId="1" applyNumberFormat="1"/>
    <xf numFmtId="0" fontId="1" fillId="0" borderId="0" xfId="1" applyAlignment="1">
      <alignment horizontal="left" wrapText="1"/>
    </xf>
    <xf numFmtId="0" fontId="1" fillId="0" borderId="0" xfId="1" applyAlignment="1">
      <alignment horizontal="left"/>
    </xf>
    <xf numFmtId="164" fontId="1" fillId="0" borderId="0" xfId="1" applyNumberFormat="1" applyAlignment="1">
      <alignment horizontal="center"/>
    </xf>
    <xf numFmtId="166" fontId="4" fillId="0" borderId="1" xfId="1" applyNumberFormat="1" applyFont="1" applyBorder="1" applyAlignment="1">
      <alignment horizontal="right"/>
    </xf>
    <xf numFmtId="166" fontId="5" fillId="0" borderId="0" xfId="1" applyNumberFormat="1" applyFont="1" applyAlignment="1">
      <alignment horizontal="right"/>
    </xf>
    <xf numFmtId="166" fontId="2" fillId="0" borderId="0" xfId="1" applyNumberFormat="1" applyFont="1" applyAlignment="1">
      <alignment horizontal="center"/>
    </xf>
    <xf numFmtId="167" fontId="4" fillId="3" borderId="1" xfId="1" applyNumberFormat="1" applyFont="1" applyFill="1" applyBorder="1" applyAlignment="1">
      <alignment horizontal="center" vertical="center"/>
    </xf>
    <xf numFmtId="167" fontId="3" fillId="0" borderId="0" xfId="1" applyNumberFormat="1" applyFont="1" applyAlignment="1" applyProtection="1">
      <alignment horizontal="center"/>
      <protection locked="0"/>
    </xf>
    <xf numFmtId="167" fontId="3" fillId="0" borderId="0" xfId="1" applyNumberFormat="1" applyFont="1" applyAlignment="1">
      <alignment horizontal="right"/>
    </xf>
    <xf numFmtId="0" fontId="1" fillId="0" borderId="0" xfId="1" applyProtection="1">
      <protection locked="0"/>
    </xf>
    <xf numFmtId="166" fontId="5" fillId="3" borderId="1" xfId="1" applyNumberFormat="1" applyFont="1" applyFill="1" applyBorder="1" applyAlignment="1">
      <alignment horizontal="center" vertical="center"/>
    </xf>
    <xf numFmtId="167" fontId="2" fillId="3" borderId="1" xfId="1" applyNumberFormat="1" applyFont="1" applyFill="1" applyBorder="1" applyAlignment="1">
      <alignment horizontal="center" vertical="center"/>
    </xf>
    <xf numFmtId="167" fontId="2" fillId="3" borderId="1" xfId="1" applyNumberFormat="1" applyFont="1" applyFill="1" applyBorder="1" applyAlignment="1" applyProtection="1">
      <alignment horizontal="center" vertical="center"/>
      <protection locked="0"/>
    </xf>
    <xf numFmtId="168" fontId="2" fillId="0" borderId="1" xfId="1" applyNumberFormat="1" applyFont="1" applyBorder="1"/>
    <xf numFmtId="166" fontId="2" fillId="4" borderId="1" xfId="1" applyNumberFormat="1" applyFont="1" applyFill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left" wrapText="1"/>
    </xf>
    <xf numFmtId="0" fontId="1" fillId="0" borderId="1" xfId="1" applyBorder="1" applyAlignment="1">
      <alignment horizontal="left"/>
    </xf>
    <xf numFmtId="0" fontId="1" fillId="0" borderId="1" xfId="1" applyBorder="1" applyAlignment="1">
      <alignment horizontal="center" vertical="center" wrapText="1"/>
    </xf>
    <xf numFmtId="166" fontId="2" fillId="6" borderId="1" xfId="1" applyNumberFormat="1" applyFont="1" applyFill="1" applyBorder="1" applyAlignment="1">
      <alignment horizontal="right"/>
    </xf>
    <xf numFmtId="166" fontId="7" fillId="8" borderId="1" xfId="1" applyNumberFormat="1" applyFont="1" applyFill="1" applyBorder="1" applyAlignment="1">
      <alignment horizontal="right"/>
    </xf>
    <xf numFmtId="0" fontId="1" fillId="0" borderId="1" xfId="1" applyBorder="1" applyAlignment="1">
      <alignment horizontal="left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right" vertical="center" wrapText="1"/>
    </xf>
    <xf numFmtId="0" fontId="8" fillId="0" borderId="0" xfId="1" applyFont="1" applyAlignment="1" applyProtection="1">
      <alignment horizontal="center" vertical="center" wrapText="1"/>
      <protection locked="0"/>
    </xf>
    <xf numFmtId="165" fontId="8" fillId="0" borderId="0" xfId="1" applyNumberFormat="1" applyFont="1" applyAlignment="1">
      <alignment horizontal="right" vertical="center" wrapText="1"/>
    </xf>
    <xf numFmtId="0" fontId="8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 applyProtection="1">
      <alignment horizontal="center"/>
      <protection locked="0"/>
    </xf>
    <xf numFmtId="0" fontId="5" fillId="9" borderId="0" xfId="1" applyFont="1" applyFill="1" applyAlignment="1">
      <alignment horizontal="left"/>
    </xf>
    <xf numFmtId="0" fontId="9" fillId="9" borderId="0" xfId="1" applyFont="1" applyFill="1" applyAlignment="1">
      <alignment horizontal="left"/>
    </xf>
    <xf numFmtId="0" fontId="1" fillId="0" borderId="0" xfId="1" applyAlignment="1">
      <alignment horizontal="center"/>
    </xf>
    <xf numFmtId="0" fontId="1" fillId="0" borderId="0" xfId="1" applyAlignment="1" applyProtection="1">
      <alignment horizontal="center"/>
      <protection locked="0"/>
    </xf>
    <xf numFmtId="0" fontId="1" fillId="0" borderId="0" xfId="1" applyAlignment="1">
      <alignment wrapText="1"/>
    </xf>
    <xf numFmtId="0" fontId="10" fillId="0" borderId="1" xfId="1" applyFont="1" applyBorder="1" applyAlignment="1">
      <alignment horizontal="left" wrapText="1"/>
    </xf>
    <xf numFmtId="0" fontId="1" fillId="0" borderId="2" xfId="1" applyBorder="1" applyAlignment="1">
      <alignment horizontal="left" wrapText="1"/>
    </xf>
    <xf numFmtId="0" fontId="1" fillId="0" borderId="0" xfId="1" applyAlignment="1">
      <alignment horizontal="center" vertical="center" wrapText="1"/>
    </xf>
    <xf numFmtId="168" fontId="2" fillId="0" borderId="0" xfId="1" applyNumberFormat="1" applyFo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 wrapText="1"/>
    </xf>
    <xf numFmtId="167" fontId="3" fillId="0" borderId="0" xfId="1" applyNumberFormat="1" applyFont="1" applyAlignment="1">
      <alignment horizontal="center"/>
    </xf>
    <xf numFmtId="166" fontId="7" fillId="8" borderId="1" xfId="1" applyNumberFormat="1" applyFont="1" applyFill="1" applyBorder="1" applyAlignment="1" applyProtection="1">
      <alignment horizontal="center" vertical="center"/>
      <protection locked="0"/>
    </xf>
    <xf numFmtId="165" fontId="2" fillId="0" borderId="0" xfId="1" applyNumberFormat="1" applyFont="1" applyAlignment="1">
      <alignment horizontal="right" wrapText="1"/>
    </xf>
    <xf numFmtId="164" fontId="13" fillId="3" borderId="4" xfId="1" applyNumberFormat="1" applyFont="1" applyFill="1" applyBorder="1" applyAlignment="1">
      <alignment horizontal="center" vertical="center"/>
    </xf>
    <xf numFmtId="167" fontId="13" fillId="3" borderId="4" xfId="1" applyNumberFormat="1" applyFont="1" applyFill="1" applyBorder="1" applyAlignment="1">
      <alignment horizontal="center" vertical="center"/>
    </xf>
    <xf numFmtId="0" fontId="12" fillId="11" borderId="4" xfId="1" applyFont="1" applyFill="1" applyBorder="1" applyAlignment="1" applyProtection="1">
      <alignment vertical="center"/>
      <protection locked="0"/>
    </xf>
    <xf numFmtId="167" fontId="13" fillId="11" borderId="4" xfId="1" applyNumberFormat="1" applyFont="1" applyFill="1" applyBorder="1" applyAlignment="1">
      <alignment horizontal="center" vertical="center"/>
    </xf>
    <xf numFmtId="0" fontId="14" fillId="13" borderId="3" xfId="1" applyFont="1" applyFill="1" applyBorder="1" applyAlignment="1">
      <alignment horizontal="center"/>
    </xf>
    <xf numFmtId="164" fontId="15" fillId="3" borderId="4" xfId="1" applyNumberFormat="1" applyFont="1" applyFill="1" applyBorder="1" applyAlignment="1">
      <alignment horizontal="center" vertical="center"/>
    </xf>
    <xf numFmtId="167" fontId="15" fillId="3" borderId="4" xfId="1" applyNumberFormat="1" applyFont="1" applyFill="1" applyBorder="1" applyAlignment="1">
      <alignment horizontal="center" vertical="center"/>
    </xf>
    <xf numFmtId="165" fontId="2" fillId="13" borderId="1" xfId="1" applyNumberFormat="1" applyFont="1" applyFill="1" applyBorder="1" applyAlignment="1">
      <alignment horizontal="right"/>
    </xf>
    <xf numFmtId="0" fontId="2" fillId="13" borderId="1" xfId="1" applyFont="1" applyFill="1" applyBorder="1" applyAlignment="1">
      <alignment horizontal="left"/>
    </xf>
    <xf numFmtId="0" fontId="1" fillId="13" borderId="1" xfId="1" applyFill="1" applyBorder="1" applyAlignment="1">
      <alignment horizontal="left" wrapText="1"/>
    </xf>
    <xf numFmtId="0" fontId="2" fillId="13" borderId="1" xfId="1" applyFont="1" applyFill="1" applyBorder="1" applyAlignment="1">
      <alignment horizontal="left" wrapText="1"/>
    </xf>
    <xf numFmtId="171" fontId="2" fillId="13" borderId="1" xfId="1" applyNumberFormat="1" applyFont="1" applyFill="1" applyBorder="1" applyAlignment="1">
      <alignment horizontal="left"/>
    </xf>
    <xf numFmtId="172" fontId="2" fillId="13" borderId="1" xfId="1" applyNumberFormat="1" applyFont="1" applyFill="1" applyBorder="1" applyAlignment="1">
      <alignment horizontal="left"/>
    </xf>
    <xf numFmtId="168" fontId="2" fillId="12" borderId="1" xfId="1" applyNumberFormat="1" applyFont="1" applyFill="1" applyBorder="1"/>
    <xf numFmtId="0" fontId="14" fillId="12" borderId="3" xfId="1" applyFont="1" applyFill="1" applyBorder="1" applyAlignment="1">
      <alignment horizontal="center"/>
    </xf>
    <xf numFmtId="164" fontId="15" fillId="14" borderId="4" xfId="1" applyNumberFormat="1" applyFont="1" applyFill="1" applyBorder="1" applyAlignment="1">
      <alignment horizontal="center" vertical="center"/>
    </xf>
    <xf numFmtId="167" fontId="15" fillId="14" borderId="4" xfId="1" applyNumberFormat="1" applyFont="1" applyFill="1" applyBorder="1" applyAlignment="1">
      <alignment horizontal="center" vertical="center"/>
    </xf>
    <xf numFmtId="167" fontId="2" fillId="0" borderId="0" xfId="1" applyNumberFormat="1" applyFont="1" applyAlignment="1">
      <alignment horizontal="left"/>
    </xf>
    <xf numFmtId="167" fontId="2" fillId="0" borderId="0" xfId="1" applyNumberFormat="1" applyFont="1" applyAlignment="1">
      <alignment horizontal="center"/>
    </xf>
    <xf numFmtId="167" fontId="4" fillId="14" borderId="1" xfId="1" applyNumberFormat="1" applyFont="1" applyFill="1" applyBorder="1" applyAlignment="1">
      <alignment horizontal="center" vertical="center"/>
    </xf>
    <xf numFmtId="167" fontId="2" fillId="0" borderId="0" xfId="1" applyNumberFormat="1" applyFont="1" applyAlignment="1" applyProtection="1">
      <alignment horizontal="center"/>
      <protection locked="0"/>
    </xf>
    <xf numFmtId="166" fontId="5" fillId="14" borderId="1" xfId="1" applyNumberFormat="1" applyFont="1" applyFill="1" applyBorder="1" applyAlignment="1">
      <alignment horizontal="center" vertical="center"/>
    </xf>
    <xf numFmtId="167" fontId="2" fillId="14" borderId="1" xfId="1" applyNumberFormat="1" applyFont="1" applyFill="1" applyBorder="1" applyAlignment="1">
      <alignment horizontal="center" vertical="center"/>
    </xf>
    <xf numFmtId="167" fontId="2" fillId="14" borderId="1" xfId="1" applyNumberFormat="1" applyFont="1" applyFill="1" applyBorder="1" applyAlignment="1" applyProtection="1">
      <alignment horizontal="center" vertical="center"/>
      <protection locked="0"/>
    </xf>
    <xf numFmtId="165" fontId="2" fillId="12" borderId="1" xfId="1" applyNumberFormat="1" applyFont="1" applyFill="1" applyBorder="1" applyAlignment="1">
      <alignment horizontal="right"/>
    </xf>
    <xf numFmtId="0" fontId="2" fillId="12" borderId="1" xfId="1" applyFont="1" applyFill="1" applyBorder="1" applyAlignment="1">
      <alignment horizontal="left"/>
    </xf>
    <xf numFmtId="0" fontId="2" fillId="12" borderId="1" xfId="1" applyFont="1" applyFill="1" applyBorder="1" applyAlignment="1">
      <alignment horizontal="left" wrapText="1"/>
    </xf>
    <xf numFmtId="0" fontId="1" fillId="12" borderId="1" xfId="1" applyFill="1" applyBorder="1" applyAlignment="1">
      <alignment horizontal="left" wrapText="1"/>
    </xf>
    <xf numFmtId="0" fontId="1" fillId="12" borderId="1" xfId="1" applyFill="1" applyBorder="1" applyAlignment="1">
      <alignment horizontal="left"/>
    </xf>
    <xf numFmtId="168" fontId="4" fillId="12" borderId="1" xfId="1" applyNumberFormat="1" applyFont="1" applyFill="1" applyBorder="1"/>
    <xf numFmtId="0" fontId="2" fillId="12" borderId="1" xfId="1" applyFont="1" applyFill="1" applyBorder="1" applyAlignment="1">
      <alignment horizontal="center" vertical="center" wrapText="1"/>
    </xf>
    <xf numFmtId="0" fontId="17" fillId="0" borderId="0" xfId="1" applyFont="1"/>
    <xf numFmtId="0" fontId="14" fillId="3" borderId="4" xfId="1" applyFont="1" applyFill="1" applyBorder="1" applyAlignment="1" applyProtection="1">
      <alignment vertical="center"/>
      <protection locked="0"/>
    </xf>
    <xf numFmtId="0" fontId="2" fillId="0" borderId="1" xfId="1" applyFont="1" applyBorder="1" applyAlignment="1">
      <alignment horizontal="left" vertical="center" wrapText="1"/>
    </xf>
    <xf numFmtId="0" fontId="1" fillId="0" borderId="1" xfId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168" fontId="4" fillId="0" borderId="1" xfId="1" applyNumberFormat="1" applyFont="1" applyBorder="1"/>
    <xf numFmtId="166" fontId="7" fillId="8" borderId="1" xfId="1" applyNumberFormat="1" applyFont="1" applyFill="1" applyBorder="1" applyAlignment="1">
      <alignment horizontal="center"/>
    </xf>
    <xf numFmtId="165" fontId="7" fillId="8" borderId="1" xfId="1" applyNumberFormat="1" applyFont="1" applyFill="1" applyBorder="1" applyAlignment="1">
      <alignment horizontal="right"/>
    </xf>
    <xf numFmtId="0" fontId="7" fillId="8" borderId="1" xfId="1" applyFont="1" applyFill="1" applyBorder="1" applyAlignment="1">
      <alignment horizontal="left"/>
    </xf>
    <xf numFmtId="0" fontId="7" fillId="8" borderId="1" xfId="1" applyFont="1" applyFill="1" applyBorder="1" applyAlignment="1">
      <alignment horizontal="left" wrapText="1"/>
    </xf>
    <xf numFmtId="166" fontId="7" fillId="2" borderId="1" xfId="1" applyNumberFormat="1" applyFont="1" applyFill="1" applyBorder="1" applyAlignment="1">
      <alignment horizontal="center"/>
    </xf>
    <xf numFmtId="166" fontId="7" fillId="2" borderId="1" xfId="1" applyNumberFormat="1" applyFont="1" applyFill="1" applyBorder="1" applyAlignment="1" applyProtection="1">
      <alignment horizontal="center"/>
      <protection locked="0"/>
    </xf>
    <xf numFmtId="166" fontId="7" fillId="2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left" wrapText="1"/>
    </xf>
    <xf numFmtId="168" fontId="2" fillId="15" borderId="1" xfId="1" applyNumberFormat="1" applyFont="1" applyFill="1" applyBorder="1"/>
    <xf numFmtId="0" fontId="2" fillId="2" borderId="1" xfId="1" applyFont="1" applyFill="1" applyBorder="1" applyAlignment="1">
      <alignment horizontal="left" wrapText="1"/>
    </xf>
    <xf numFmtId="0" fontId="2" fillId="2" borderId="1" xfId="1" applyFont="1" applyFill="1" applyBorder="1" applyAlignment="1">
      <alignment horizontal="left"/>
    </xf>
    <xf numFmtId="0" fontId="2" fillId="16" borderId="1" xfId="1" applyFont="1" applyFill="1" applyBorder="1" applyAlignment="1">
      <alignment horizontal="left" wrapText="1"/>
    </xf>
    <xf numFmtId="0" fontId="2" fillId="16" borderId="1" xfId="1" applyFont="1" applyFill="1" applyBorder="1" applyAlignment="1">
      <alignment horizontal="left"/>
    </xf>
    <xf numFmtId="0" fontId="5" fillId="0" borderId="0" xfId="1" applyFont="1"/>
    <xf numFmtId="166" fontId="5" fillId="0" borderId="0" xfId="1" applyNumberFormat="1" applyFont="1" applyAlignment="1">
      <alignment horizontal="center"/>
    </xf>
    <xf numFmtId="166" fontId="5" fillId="0" borderId="0" xfId="1" applyNumberFormat="1" applyFont="1" applyAlignment="1" applyProtection="1">
      <alignment horizontal="center"/>
      <protection locked="0"/>
    </xf>
    <xf numFmtId="169" fontId="2" fillId="0" borderId="0" xfId="1" applyNumberFormat="1" applyFont="1" applyAlignment="1">
      <alignment horizontal="right"/>
    </xf>
    <xf numFmtId="169" fontId="2" fillId="0" borderId="0" xfId="1" applyNumberFormat="1" applyFont="1" applyAlignment="1">
      <alignment horizontal="center"/>
    </xf>
    <xf numFmtId="169" fontId="2" fillId="0" borderId="0" xfId="1" applyNumberFormat="1" applyFont="1" applyAlignment="1" applyProtection="1">
      <alignment horizontal="center"/>
      <protection locked="0"/>
    </xf>
    <xf numFmtId="165" fontId="3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center"/>
    </xf>
    <xf numFmtId="0" fontId="5" fillId="0" borderId="0" xfId="1" applyFont="1" applyAlignment="1" applyProtection="1">
      <alignment horizontal="center"/>
      <protection locked="0"/>
    </xf>
    <xf numFmtId="0" fontId="7" fillId="8" borderId="1" xfId="1" applyFont="1" applyFill="1" applyBorder="1" applyAlignment="1">
      <alignment horizontal="center"/>
    </xf>
    <xf numFmtId="166" fontId="7" fillId="8" borderId="1" xfId="1" applyNumberFormat="1" applyFont="1" applyFill="1" applyBorder="1" applyAlignment="1" applyProtection="1">
      <alignment horizontal="center"/>
      <protection locked="0"/>
    </xf>
    <xf numFmtId="0" fontId="8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textRotation="90"/>
    </xf>
    <xf numFmtId="0" fontId="1" fillId="0" borderId="1" xfId="1" applyBorder="1" applyAlignment="1">
      <alignment horizontal="center" vertical="center" wrapText="1"/>
    </xf>
    <xf numFmtId="0" fontId="1" fillId="12" borderId="1" xfId="1" applyFill="1" applyBorder="1" applyAlignment="1">
      <alignment horizontal="center" vertical="center" wrapText="1"/>
    </xf>
    <xf numFmtId="167" fontId="2" fillId="14" borderId="1" xfId="1" applyNumberFormat="1" applyFont="1" applyFill="1" applyBorder="1" applyAlignment="1" applyProtection="1">
      <alignment horizontal="center" vertical="center"/>
      <protection locked="0"/>
    </xf>
    <xf numFmtId="167" fontId="2" fillId="14" borderId="1" xfId="1" applyNumberFormat="1" applyFont="1" applyFill="1" applyBorder="1" applyAlignment="1">
      <alignment horizontal="center" vertical="center"/>
    </xf>
    <xf numFmtId="0" fontId="16" fillId="12" borderId="1" xfId="1" applyFont="1" applyFill="1" applyBorder="1" applyAlignment="1">
      <alignment horizontal="center" vertical="center" textRotation="90"/>
    </xf>
    <xf numFmtId="0" fontId="15" fillId="0" borderId="5" xfId="1" applyFont="1" applyBorder="1" applyAlignment="1" applyProtection="1">
      <alignment horizontal="center" vertical="center"/>
      <protection locked="0"/>
    </xf>
    <xf numFmtId="0" fontId="16" fillId="13" borderId="1" xfId="1" applyFont="1" applyFill="1" applyBorder="1" applyAlignment="1">
      <alignment horizontal="center" vertical="center" textRotation="90"/>
    </xf>
    <xf numFmtId="0" fontId="1" fillId="13" borderId="1" xfId="1" applyFill="1" applyBorder="1" applyAlignment="1">
      <alignment horizontal="center" vertical="center" wrapText="1"/>
    </xf>
    <xf numFmtId="0" fontId="15" fillId="12" borderId="5" xfId="1" applyFont="1" applyFill="1" applyBorder="1" applyAlignment="1" applyProtection="1">
      <alignment horizontal="center" vertical="center"/>
      <protection locked="0"/>
    </xf>
    <xf numFmtId="0" fontId="4" fillId="0" borderId="1" xfId="1" applyFont="1" applyBorder="1" applyAlignment="1">
      <alignment horizontal="center" vertical="center"/>
    </xf>
    <xf numFmtId="0" fontId="15" fillId="13" borderId="5" xfId="1" applyFont="1" applyFill="1" applyBorder="1" applyAlignment="1" applyProtection="1">
      <alignment horizontal="center" vertical="center"/>
      <protection locked="0"/>
    </xf>
    <xf numFmtId="0" fontId="13" fillId="11" borderId="5" xfId="1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left" vertical="center" wrapText="1"/>
    </xf>
    <xf numFmtId="166" fontId="2" fillId="5" borderId="1" xfId="1" applyNumberFormat="1" applyFont="1" applyFill="1" applyBorder="1" applyAlignment="1" applyProtection="1">
      <alignment horizontal="center" vertical="center"/>
      <protection locked="0"/>
    </xf>
    <xf numFmtId="166" fontId="1" fillId="0" borderId="0" xfId="1" applyNumberFormat="1" applyAlignment="1" applyProtection="1">
      <alignment horizontal="center" vertical="center"/>
      <protection locked="0"/>
    </xf>
    <xf numFmtId="166" fontId="2" fillId="0" borderId="0" xfId="1" applyNumberFormat="1" applyFont="1" applyAlignment="1" applyProtection="1">
      <alignment horizontal="center" vertical="center"/>
      <protection locked="0"/>
    </xf>
    <xf numFmtId="166" fontId="5" fillId="0" borderId="0" xfId="1" applyNumberFormat="1" applyFont="1" applyAlignment="1" applyProtection="1">
      <alignment horizontal="center" vertical="center"/>
      <protection locked="0"/>
    </xf>
    <xf numFmtId="166" fontId="2" fillId="10" borderId="1" xfId="1" applyNumberFormat="1" applyFont="1" applyFill="1" applyBorder="1" applyAlignment="1" applyProtection="1">
      <alignment horizontal="center" vertical="center"/>
      <protection locked="0"/>
    </xf>
    <xf numFmtId="166" fontId="2" fillId="3" borderId="1" xfId="1" applyNumberFormat="1" applyFont="1" applyFill="1" applyBorder="1" applyAlignment="1" applyProtection="1">
      <alignment horizontal="center" vertical="center"/>
      <protection locked="0"/>
    </xf>
    <xf numFmtId="167" fontId="2" fillId="0" borderId="0" xfId="1" applyNumberFormat="1" applyFont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1" fillId="8" borderId="1" xfId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/>
    </xf>
    <xf numFmtId="166" fontId="2" fillId="0" borderId="1" xfId="1" applyNumberFormat="1" applyFont="1" applyBorder="1" applyAlignment="1">
      <alignment horizontal="center"/>
    </xf>
    <xf numFmtId="166" fontId="2" fillId="6" borderId="1" xfId="1" applyNumberFormat="1" applyFont="1" applyFill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166" fontId="2" fillId="15" borderId="1" xfId="1" applyNumberFormat="1" applyFont="1" applyFill="1" applyBorder="1" applyAlignment="1">
      <alignment horizontal="center"/>
    </xf>
    <xf numFmtId="165" fontId="2" fillId="15" borderId="1" xfId="1" applyNumberFormat="1" applyFont="1" applyFill="1" applyBorder="1" applyAlignment="1">
      <alignment horizontal="center"/>
    </xf>
    <xf numFmtId="166" fontId="15" fillId="0" borderId="4" xfId="1" applyNumberFormat="1" applyFont="1" applyBorder="1" applyAlignment="1">
      <alignment horizontal="center" vertical="center"/>
    </xf>
    <xf numFmtId="0" fontId="17" fillId="0" borderId="0" xfId="1" applyFont="1" applyAlignment="1">
      <alignment horizontal="center"/>
    </xf>
    <xf numFmtId="166" fontId="15" fillId="12" borderId="4" xfId="1" applyNumberFormat="1" applyFont="1" applyFill="1" applyBorder="1" applyAlignment="1">
      <alignment horizontal="center"/>
    </xf>
    <xf numFmtId="166" fontId="15" fillId="13" borderId="4" xfId="1" applyNumberFormat="1" applyFont="1" applyFill="1" applyBorder="1" applyAlignment="1">
      <alignment horizontal="center"/>
    </xf>
    <xf numFmtId="166" fontId="13" fillId="11" borderId="4" xfId="1" applyNumberFormat="1" applyFont="1" applyFill="1" applyBorder="1" applyAlignment="1">
      <alignment horizontal="center" vertical="center"/>
    </xf>
    <xf numFmtId="166" fontId="2" fillId="4" borderId="1" xfId="1" applyNumberFormat="1" applyFont="1" applyFill="1" applyBorder="1" applyAlignment="1">
      <alignment horizontal="center"/>
    </xf>
    <xf numFmtId="169" fontId="2" fillId="0" borderId="1" xfId="1" applyNumberFormat="1" applyFont="1" applyBorder="1" applyAlignment="1" applyProtection="1">
      <alignment horizontal="center"/>
      <protection locked="0"/>
    </xf>
    <xf numFmtId="169" fontId="7" fillId="8" borderId="1" xfId="1" applyNumberFormat="1" applyFont="1" applyFill="1" applyBorder="1" applyAlignment="1" applyProtection="1">
      <alignment horizontal="center"/>
      <protection locked="0"/>
    </xf>
    <xf numFmtId="165" fontId="3" fillId="0" borderId="0" xfId="1" applyNumberFormat="1" applyFont="1" applyAlignment="1" applyProtection="1">
      <alignment horizontal="center"/>
      <protection locked="0"/>
    </xf>
    <xf numFmtId="169" fontId="5" fillId="0" borderId="0" xfId="1" applyNumberFormat="1" applyFont="1" applyAlignment="1" applyProtection="1">
      <alignment horizontal="center"/>
      <protection locked="0"/>
    </xf>
    <xf numFmtId="0" fontId="21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5" fontId="8" fillId="0" borderId="0" xfId="1" applyNumberFormat="1" applyFont="1" applyAlignment="1">
      <alignment horizontal="center" vertical="center" wrapText="1"/>
    </xf>
    <xf numFmtId="166" fontId="2" fillId="12" borderId="1" xfId="1" applyNumberFormat="1" applyFont="1" applyFill="1" applyBorder="1" applyAlignment="1">
      <alignment horizontal="center"/>
    </xf>
    <xf numFmtId="166" fontId="2" fillId="13" borderId="1" xfId="1" applyNumberFormat="1" applyFont="1" applyFill="1" applyBorder="1" applyAlignment="1">
      <alignment horizontal="center"/>
    </xf>
    <xf numFmtId="169" fontId="2" fillId="12" borderId="1" xfId="1" applyNumberFormat="1" applyFont="1" applyFill="1" applyBorder="1" applyAlignment="1" applyProtection="1">
      <alignment horizontal="center"/>
      <protection locked="0"/>
    </xf>
    <xf numFmtId="169" fontId="2" fillId="13" borderId="1" xfId="1" applyNumberFormat="1" applyFont="1" applyFill="1" applyBorder="1" applyAlignment="1" applyProtection="1">
      <alignment horizontal="center"/>
      <protection locked="0"/>
    </xf>
    <xf numFmtId="0" fontId="2" fillId="12" borderId="1" xfId="1" applyFont="1" applyFill="1" applyBorder="1" applyAlignment="1">
      <alignment horizontal="center"/>
    </xf>
    <xf numFmtId="0" fontId="11" fillId="0" borderId="0" xfId="1" applyFont="1" applyAlignment="1">
      <alignment horizontal="center"/>
    </xf>
    <xf numFmtId="0" fontId="2" fillId="13" borderId="1" xfId="1" applyFont="1" applyFill="1" applyBorder="1" applyAlignment="1">
      <alignment horizontal="center"/>
    </xf>
    <xf numFmtId="166" fontId="2" fillId="7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Alignment="1" applyProtection="1">
      <alignment horizontal="center"/>
      <protection locked="0"/>
    </xf>
    <xf numFmtId="0" fontId="18" fillId="17" borderId="1" xfId="1" applyFont="1" applyFill="1" applyBorder="1" applyAlignment="1">
      <alignment horizontal="center" vertical="center" wrapText="1"/>
    </xf>
    <xf numFmtId="0" fontId="18" fillId="17" borderId="1" xfId="1" applyFont="1" applyFill="1" applyBorder="1" applyAlignment="1">
      <alignment horizontal="center" vertical="center" wrapText="1"/>
    </xf>
    <xf numFmtId="165" fontId="18" fillId="17" borderId="1" xfId="1" applyNumberFormat="1" applyFont="1" applyFill="1" applyBorder="1" applyAlignment="1">
      <alignment horizontal="center" vertical="center" wrapText="1"/>
    </xf>
    <xf numFmtId="0" fontId="5" fillId="17" borderId="1" xfId="1" applyFont="1" applyFill="1" applyBorder="1" applyAlignment="1">
      <alignment horizontal="center" vertical="center" wrapText="1"/>
    </xf>
    <xf numFmtId="0" fontId="19" fillId="17" borderId="0" xfId="1" applyFont="1" applyFill="1" applyAlignment="1">
      <alignment horizontal="center"/>
    </xf>
  </cellXfs>
  <cellStyles count="2">
    <cellStyle name="Normal" xfId="0" builtinId="0"/>
    <cellStyle name="Normal 2" xfId="1" xr:uid="{474A6BF9-D92F-41A5-87A5-4885107602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0</xdr:rowOff>
    </xdr:from>
    <xdr:to>
      <xdr:col>1</xdr:col>
      <xdr:colOff>870858</xdr:colOff>
      <xdr:row>2</xdr:row>
      <xdr:rowOff>1292679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11E1D8E-20A5-44E3-BE6E-88EBE7CD9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03464"/>
          <a:ext cx="1905000" cy="1292679"/>
        </a:xfrm>
        <a:prstGeom prst="rect">
          <a:avLst/>
        </a:prstGeom>
        <a:solidFill>
          <a:schemeClr val="bg1">
            <a:lumMod val="95000"/>
          </a:schemeClr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EEN%20PORTABLE/Desktop/210520%20Projet%20Seb%20sans%20mousse%20cf%20MagnanouTe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DEVIS CLIENT SANS PRIX"/>
      <sheetName val="DEVIS CLIENT"/>
      <sheetName val="PLANNING PHASES USINE"/>
      <sheetName val="PLANNING COMMANDE "/>
      <sheetName val="Recap quantitatif"/>
    </sheetNames>
    <sheetDataSet>
      <sheetData sheetId="0">
        <row r="8">
          <cell r="J8" t="str">
            <v>Genève</v>
          </cell>
        </row>
        <row r="11">
          <cell r="B11" t="str">
            <v>Construction d’une maison modèle Genève de 3 containers de 40' et de 1 container de 20'</v>
          </cell>
        </row>
        <row r="14">
          <cell r="P14" t="str">
            <v>Produit</v>
          </cell>
          <cell r="Q14" t="str">
            <v xml:space="preserve">Qté </v>
          </cell>
        </row>
        <row r="15">
          <cell r="E15">
            <v>3</v>
          </cell>
          <cell r="K15">
            <v>3</v>
          </cell>
          <cell r="P15" t="str">
            <v>-</v>
          </cell>
          <cell r="Q15">
            <v>0</v>
          </cell>
        </row>
        <row r="16">
          <cell r="E16">
            <v>1</v>
          </cell>
          <cell r="K16">
            <v>1</v>
          </cell>
          <cell r="P16" t="str">
            <v>RECEVEUR DE DOUCHE 80X120</v>
          </cell>
          <cell r="Q16">
            <v>1</v>
          </cell>
        </row>
        <row r="17">
          <cell r="E17">
            <v>105</v>
          </cell>
          <cell r="K17">
            <v>1</v>
          </cell>
          <cell r="P17" t="str">
            <v>Double vasque  avec Robinetterie</v>
          </cell>
          <cell r="Q17">
            <v>1</v>
          </cell>
        </row>
        <row r="18">
          <cell r="P18" t="str">
            <v>Colonne de douche ADESIO ECO</v>
          </cell>
          <cell r="Q18">
            <v>1</v>
          </cell>
        </row>
        <row r="19">
          <cell r="E19">
            <v>93.83</v>
          </cell>
          <cell r="K19">
            <v>6</v>
          </cell>
          <cell r="P19" t="str">
            <v>Siphon lavabo</v>
          </cell>
          <cell r="Q19">
            <v>2</v>
          </cell>
        </row>
        <row r="20">
          <cell r="E20">
            <v>46.13</v>
          </cell>
          <cell r="K20">
            <v>0</v>
          </cell>
          <cell r="P20" t="str">
            <v>Sèche serviette 500 W</v>
          </cell>
          <cell r="Q20">
            <v>1</v>
          </cell>
        </row>
        <row r="21">
          <cell r="K21">
            <v>0</v>
          </cell>
          <cell r="P21" t="str">
            <v>Bonde de douche</v>
          </cell>
          <cell r="Q21">
            <v>1</v>
          </cell>
        </row>
        <row r="22">
          <cell r="D22" t="str">
            <v>Poêle à granules Invicta (fourni posé)</v>
          </cell>
          <cell r="K22">
            <v>0</v>
          </cell>
          <cell r="P22" t="str">
            <v>-</v>
          </cell>
          <cell r="Q22">
            <v>0</v>
          </cell>
        </row>
        <row r="23">
          <cell r="P23" t="str">
            <v>-</v>
          </cell>
          <cell r="Q23">
            <v>0</v>
          </cell>
        </row>
        <row r="24">
          <cell r="D24" t="str">
            <v>Tôles ondulées Nerba</v>
          </cell>
          <cell r="E24">
            <v>0.8</v>
          </cell>
          <cell r="K24">
            <v>100.79999999999998</v>
          </cell>
          <cell r="P24" t="str">
            <v>-</v>
          </cell>
          <cell r="Q24">
            <v>0</v>
          </cell>
        </row>
        <row r="25">
          <cell r="D25" t="str">
            <v>Bois claire- voie Douglas horizontal</v>
          </cell>
          <cell r="E25">
            <v>0.2</v>
          </cell>
          <cell r="K25">
            <v>46.13</v>
          </cell>
          <cell r="P25" t="str">
            <v>-</v>
          </cell>
          <cell r="Q25">
            <v>0</v>
          </cell>
        </row>
        <row r="26">
          <cell r="D26" t="str">
            <v xml:space="preserve"> </v>
          </cell>
          <cell r="E26">
            <v>0</v>
          </cell>
          <cell r="K26">
            <v>31.84</v>
          </cell>
          <cell r="P26" t="str">
            <v>-</v>
          </cell>
          <cell r="Q26">
            <v>0</v>
          </cell>
        </row>
        <row r="27">
          <cell r="K27">
            <v>9.3000000000000007</v>
          </cell>
          <cell r="P27" t="str">
            <v>-</v>
          </cell>
          <cell r="Q27">
            <v>0</v>
          </cell>
        </row>
        <row r="28">
          <cell r="K28">
            <v>0</v>
          </cell>
          <cell r="P28" t="str">
            <v>-</v>
          </cell>
          <cell r="Q28">
            <v>0</v>
          </cell>
        </row>
        <row r="29">
          <cell r="E29">
            <v>5.5</v>
          </cell>
          <cell r="P29" t="str">
            <v>-</v>
          </cell>
          <cell r="Q29">
            <v>0</v>
          </cell>
        </row>
        <row r="30">
          <cell r="E30">
            <v>20</v>
          </cell>
          <cell r="J30" t="str">
            <v>sans peinture ni impression</v>
          </cell>
          <cell r="K30">
            <v>375.32499999999999</v>
          </cell>
          <cell r="P30" t="str">
            <v>-</v>
          </cell>
          <cell r="Q30">
            <v>0</v>
          </cell>
        </row>
        <row r="31">
          <cell r="E31">
            <v>0</v>
          </cell>
          <cell r="P31" t="str">
            <v>-</v>
          </cell>
          <cell r="Q31">
            <v>0</v>
          </cell>
        </row>
        <row r="32">
          <cell r="J32" t="str">
            <v>Stratifié loc floor</v>
          </cell>
          <cell r="K32">
            <v>81.459999999999994</v>
          </cell>
          <cell r="P32" t="str">
            <v>-</v>
          </cell>
          <cell r="Q32">
            <v>0</v>
          </cell>
        </row>
        <row r="33">
          <cell r="E33">
            <v>0</v>
          </cell>
          <cell r="K33" t="str">
            <v>M2</v>
          </cell>
          <cell r="P33" t="str">
            <v>-</v>
          </cell>
          <cell r="Q33">
            <v>0</v>
          </cell>
        </row>
        <row r="34">
          <cell r="J34" t="str">
            <v>Carrelage</v>
          </cell>
          <cell r="K34">
            <v>5.18</v>
          </cell>
          <cell r="P34" t="str">
            <v>-</v>
          </cell>
          <cell r="Q34">
            <v>0</v>
          </cell>
        </row>
        <row r="35">
          <cell r="E35">
            <v>1</v>
          </cell>
          <cell r="J35" t="str">
            <v>Carrelage</v>
          </cell>
          <cell r="K35">
            <v>1.96</v>
          </cell>
          <cell r="P35" t="str">
            <v>-</v>
          </cell>
          <cell r="Q35">
            <v>0</v>
          </cell>
        </row>
        <row r="36">
          <cell r="E36">
            <v>5</v>
          </cell>
          <cell r="J36" t="str">
            <v>Carrelage</v>
          </cell>
          <cell r="K36">
            <v>5.23</v>
          </cell>
          <cell r="P36" t="str">
            <v>-</v>
          </cell>
          <cell r="Q36">
            <v>0</v>
          </cell>
        </row>
        <row r="37">
          <cell r="E37">
            <v>6</v>
          </cell>
          <cell r="P37" t="str">
            <v>-</v>
          </cell>
          <cell r="Q37">
            <v>0</v>
          </cell>
        </row>
        <row r="38">
          <cell r="P38" t="str">
            <v>-</v>
          </cell>
          <cell r="Q38">
            <v>0</v>
          </cell>
        </row>
        <row r="39">
          <cell r="E39" t="str">
            <v xml:space="preserve">PVC </v>
          </cell>
          <cell r="P39" t="str">
            <v>-</v>
          </cell>
          <cell r="Q39">
            <v>0</v>
          </cell>
        </row>
        <row r="40">
          <cell r="P40" t="str">
            <v>-</v>
          </cell>
          <cell r="Q40">
            <v>0</v>
          </cell>
        </row>
        <row r="41">
          <cell r="E41">
            <v>3</v>
          </cell>
          <cell r="P41" t="str">
            <v>-</v>
          </cell>
          <cell r="Q41">
            <v>0</v>
          </cell>
        </row>
        <row r="42">
          <cell r="E42">
            <v>1</v>
          </cell>
          <cell r="P42" t="str">
            <v>-</v>
          </cell>
          <cell r="Q42">
            <v>0</v>
          </cell>
        </row>
        <row r="43">
          <cell r="P43" t="str">
            <v>-</v>
          </cell>
          <cell r="Q43">
            <v>0</v>
          </cell>
        </row>
        <row r="44">
          <cell r="E44">
            <v>3</v>
          </cell>
          <cell r="P44" t="str">
            <v>-</v>
          </cell>
          <cell r="Q44">
            <v>0</v>
          </cell>
        </row>
        <row r="45">
          <cell r="E45">
            <v>1</v>
          </cell>
          <cell r="O45" t="str">
            <v>Options non préremplies</v>
          </cell>
        </row>
        <row r="46">
          <cell r="E46">
            <v>0</v>
          </cell>
        </row>
        <row r="47">
          <cell r="Q47">
            <v>0</v>
          </cell>
        </row>
        <row r="48">
          <cell r="E48">
            <v>0</v>
          </cell>
          <cell r="Q48">
            <v>0</v>
          </cell>
        </row>
        <row r="49">
          <cell r="E49">
            <v>0</v>
          </cell>
          <cell r="K49">
            <v>2</v>
          </cell>
          <cell r="Q49">
            <v>0</v>
          </cell>
        </row>
        <row r="50">
          <cell r="E50">
            <v>1</v>
          </cell>
          <cell r="K50">
            <v>0</v>
          </cell>
          <cell r="Q50">
            <v>0</v>
          </cell>
        </row>
        <row r="51">
          <cell r="E51">
            <v>0</v>
          </cell>
          <cell r="Q51">
            <v>0</v>
          </cell>
        </row>
        <row r="52">
          <cell r="K52">
            <v>9</v>
          </cell>
          <cell r="Q52">
            <v>0</v>
          </cell>
        </row>
        <row r="53">
          <cell r="E53">
            <v>1</v>
          </cell>
          <cell r="K53">
            <v>23</v>
          </cell>
          <cell r="Q53">
            <v>0</v>
          </cell>
        </row>
        <row r="54">
          <cell r="E54">
            <v>0</v>
          </cell>
          <cell r="K54">
            <v>5</v>
          </cell>
          <cell r="Q54">
            <v>0</v>
          </cell>
        </row>
        <row r="55">
          <cell r="K55">
            <v>1</v>
          </cell>
          <cell r="Q55">
            <v>0</v>
          </cell>
        </row>
        <row r="56">
          <cell r="E56">
            <v>0</v>
          </cell>
          <cell r="K56">
            <v>17</v>
          </cell>
          <cell r="Q56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8B859-0D9D-4119-894C-BD75FAFA7843}">
  <sheetPr>
    <pageSetUpPr fitToPage="1"/>
  </sheetPr>
  <dimension ref="A1:AU421"/>
  <sheetViews>
    <sheetView tabSelected="1" topLeftCell="A399" zoomScale="70" zoomScaleNormal="70" workbookViewId="0">
      <selection activeCell="H419" sqref="H419"/>
    </sheetView>
  </sheetViews>
  <sheetFormatPr baseColWidth="10" defaultColWidth="8.85546875" defaultRowHeight="15" outlineLevelRow="1" x14ac:dyDescent="0.25"/>
  <cols>
    <col min="1" max="1" width="15.5703125" style="2" customWidth="1"/>
    <col min="2" max="2" width="13.5703125" style="2" customWidth="1"/>
    <col min="3" max="3" width="11.28515625" style="6" hidden="1" customWidth="1"/>
    <col min="4" max="4" width="27" style="6" customWidth="1"/>
    <col min="5" max="5" width="25.5703125" style="6" customWidth="1"/>
    <col min="6" max="6" width="17" style="6" customWidth="1"/>
    <col min="7" max="7" width="39.28515625" style="7" customWidth="1"/>
    <col min="8" max="8" width="16.85546875" style="4" customWidth="1"/>
    <col min="9" max="9" width="7.140625" style="4" customWidth="1"/>
    <col min="10" max="10" width="13.140625" style="144" customWidth="1"/>
    <col min="11" max="11" width="13.28515625" style="4" customWidth="1"/>
    <col min="12" max="12" width="9" style="4" customWidth="1"/>
    <col min="13" max="13" width="0.5703125" style="5" customWidth="1"/>
    <col min="14" max="14" width="18.7109375" style="3" customWidth="1"/>
    <col min="15" max="15" width="9.85546875" style="3" hidden="1" customWidth="1"/>
    <col min="16" max="16" width="10.140625" style="4" customWidth="1"/>
    <col min="17" max="17" width="12.28515625" style="4" customWidth="1"/>
    <col min="18" max="18" width="18.7109375" style="4" customWidth="1"/>
    <col min="19" max="24" width="14.42578125" style="2" hidden="1" customWidth="1"/>
    <col min="25" max="47" width="14.42578125" style="2" customWidth="1"/>
    <col min="48" max="16384" width="8.85546875" style="1"/>
  </cols>
  <sheetData>
    <row r="1" spans="1:18" ht="18.75" customHeight="1" x14ac:dyDescent="0.25">
      <c r="M1" s="3"/>
    </row>
    <row r="2" spans="1:18" ht="20.65" customHeight="1" x14ac:dyDescent="0.25">
      <c r="C2" s="118" t="str">
        <f>[1]Données!B11</f>
        <v>Construction d’une maison modèle Genève de 3 containers de 40' et de 1 container de 20'</v>
      </c>
    </row>
    <row r="3" spans="1:18" ht="104.25" customHeight="1" x14ac:dyDescent="0.25">
      <c r="A3" s="120"/>
      <c r="B3" s="120"/>
      <c r="C3" s="176" t="s">
        <v>90</v>
      </c>
      <c r="D3" s="176"/>
      <c r="E3" s="176"/>
      <c r="F3" s="176"/>
      <c r="G3" s="177" t="s">
        <v>398</v>
      </c>
      <c r="H3" s="177" t="s">
        <v>397</v>
      </c>
      <c r="I3" s="177" t="s">
        <v>396</v>
      </c>
      <c r="J3" s="177" t="s">
        <v>395</v>
      </c>
      <c r="K3" s="177" t="s">
        <v>394</v>
      </c>
      <c r="L3" s="177" t="s">
        <v>393</v>
      </c>
      <c r="M3" s="178" t="s">
        <v>392</v>
      </c>
      <c r="N3" s="179" t="s">
        <v>391</v>
      </c>
      <c r="O3" s="180"/>
      <c r="P3" s="177" t="s">
        <v>390</v>
      </c>
      <c r="Q3" s="177" t="s">
        <v>389</v>
      </c>
      <c r="R3" s="177" t="s">
        <v>388</v>
      </c>
    </row>
    <row r="4" spans="1:18" ht="25.5" customHeight="1" x14ac:dyDescent="0.25">
      <c r="C4" s="88" t="s">
        <v>88</v>
      </c>
      <c r="D4" s="88" t="s">
        <v>87</v>
      </c>
      <c r="E4" s="88" t="s">
        <v>86</v>
      </c>
      <c r="F4" s="90" t="s">
        <v>85</v>
      </c>
      <c r="G4" s="163" t="s">
        <v>387</v>
      </c>
      <c r="H4" s="163"/>
      <c r="I4" s="163"/>
      <c r="J4" s="163"/>
      <c r="K4" s="163"/>
      <c r="L4" s="163"/>
      <c r="M4" s="163"/>
      <c r="N4" s="163"/>
      <c r="O4" s="1"/>
      <c r="P4" s="117"/>
      <c r="Q4" s="117"/>
      <c r="R4" s="117"/>
    </row>
    <row r="5" spans="1:18" ht="13.9" customHeight="1" x14ac:dyDescent="0.25">
      <c r="A5" s="121"/>
      <c r="B5" s="122" t="s">
        <v>386</v>
      </c>
      <c r="C5" s="25" t="s">
        <v>277</v>
      </c>
      <c r="D5" s="25" t="s">
        <v>381</v>
      </c>
      <c r="E5" s="25" t="s">
        <v>385</v>
      </c>
      <c r="F5" s="25"/>
      <c r="G5" s="26" t="s">
        <v>384</v>
      </c>
      <c r="H5" s="135"/>
      <c r="I5" s="142" t="s">
        <v>4</v>
      </c>
      <c r="J5" s="143">
        <f>2*[1]Données!E15+1*[1]Données!E16</f>
        <v>7</v>
      </c>
      <c r="K5" s="148"/>
      <c r="L5" s="159">
        <v>0</v>
      </c>
      <c r="M5" s="24">
        <f t="shared" ref="M5:M12" si="0">(J5*L5+J5)</f>
        <v>7</v>
      </c>
      <c r="N5" s="149"/>
      <c r="O5" s="22" t="e">
        <f>N5/$N$127</f>
        <v>#DIV/0!</v>
      </c>
      <c r="P5" s="21">
        <v>0</v>
      </c>
      <c r="Q5" s="20">
        <f t="shared" ref="Q5:Q12" si="1">P5*J5</f>
        <v>0</v>
      </c>
      <c r="R5" s="19"/>
    </row>
    <row r="6" spans="1:18" x14ac:dyDescent="0.25">
      <c r="A6" s="121"/>
      <c r="B6" s="122"/>
      <c r="C6" s="25" t="s">
        <v>277</v>
      </c>
      <c r="D6" s="25" t="s">
        <v>381</v>
      </c>
      <c r="E6" s="25" t="s">
        <v>383</v>
      </c>
      <c r="F6" s="27"/>
      <c r="G6" s="26" t="s">
        <v>382</v>
      </c>
      <c r="H6" s="135"/>
      <c r="I6" s="142" t="s">
        <v>4</v>
      </c>
      <c r="J6" s="143">
        <f>[1]Données!E29</f>
        <v>5.5</v>
      </c>
      <c r="K6" s="148"/>
      <c r="L6" s="159">
        <v>0</v>
      </c>
      <c r="M6" s="24">
        <f t="shared" si="0"/>
        <v>5.5</v>
      </c>
      <c r="N6" s="149"/>
      <c r="O6" s="22" t="e">
        <f>N6/$N$127</f>
        <v>#DIV/0!</v>
      </c>
      <c r="P6" s="21">
        <v>8.3333333333333301E-2</v>
      </c>
      <c r="Q6" s="20">
        <f t="shared" si="1"/>
        <v>0.45833333333333315</v>
      </c>
      <c r="R6" s="19"/>
    </row>
    <row r="7" spans="1:18" x14ac:dyDescent="0.25">
      <c r="A7" s="121"/>
      <c r="B7" s="122"/>
      <c r="C7" s="25" t="s">
        <v>277</v>
      </c>
      <c r="D7" s="25" t="s">
        <v>381</v>
      </c>
      <c r="E7" s="25" t="s">
        <v>380</v>
      </c>
      <c r="F7" s="27"/>
      <c r="G7" s="26" t="s">
        <v>379</v>
      </c>
      <c r="H7" s="135"/>
      <c r="I7" s="142" t="s">
        <v>4</v>
      </c>
      <c r="J7" s="143">
        <f>[1]Données!E16</f>
        <v>1</v>
      </c>
      <c r="K7" s="148"/>
      <c r="L7" s="159">
        <v>0</v>
      </c>
      <c r="M7" s="24">
        <f t="shared" si="0"/>
        <v>1</v>
      </c>
      <c r="N7" s="149"/>
      <c r="O7" s="22" t="e">
        <f>N7/$N$127</f>
        <v>#DIV/0!</v>
      </c>
      <c r="P7" s="21">
        <v>0.125</v>
      </c>
      <c r="Q7" s="20">
        <f t="shared" si="1"/>
        <v>0.125</v>
      </c>
      <c r="R7" s="19"/>
    </row>
    <row r="8" spans="1:18" x14ac:dyDescent="0.25">
      <c r="A8" s="121"/>
      <c r="B8" s="122"/>
      <c r="C8" s="25" t="s">
        <v>277</v>
      </c>
      <c r="D8" s="25" t="s">
        <v>377</v>
      </c>
      <c r="E8" s="25" t="s">
        <v>376</v>
      </c>
      <c r="F8" s="25"/>
      <c r="G8" s="26" t="s">
        <v>378</v>
      </c>
      <c r="H8" s="135"/>
      <c r="I8" s="142" t="s">
        <v>4</v>
      </c>
      <c r="J8" s="143">
        <f>[1]Données!E15</f>
        <v>3</v>
      </c>
      <c r="K8" s="148"/>
      <c r="L8" s="159">
        <v>0</v>
      </c>
      <c r="M8" s="24">
        <f t="shared" si="0"/>
        <v>3</v>
      </c>
      <c r="N8" s="149"/>
      <c r="O8" s="22"/>
      <c r="P8" s="21">
        <v>0.25</v>
      </c>
      <c r="Q8" s="20">
        <f t="shared" si="1"/>
        <v>0.75</v>
      </c>
      <c r="R8" s="19"/>
    </row>
    <row r="9" spans="1:18" x14ac:dyDescent="0.25">
      <c r="A9" s="121"/>
      <c r="B9" s="122"/>
      <c r="C9" s="25" t="s">
        <v>277</v>
      </c>
      <c r="D9" s="25" t="s">
        <v>377</v>
      </c>
      <c r="E9" s="25" t="s">
        <v>376</v>
      </c>
      <c r="F9" s="25"/>
      <c r="G9" s="26" t="s">
        <v>375</v>
      </c>
      <c r="H9" s="135"/>
      <c r="I9" s="142" t="s">
        <v>4</v>
      </c>
      <c r="J9" s="143">
        <f>[1]Données!E16</f>
        <v>1</v>
      </c>
      <c r="K9" s="148"/>
      <c r="L9" s="159">
        <v>0</v>
      </c>
      <c r="M9" s="24">
        <f t="shared" si="0"/>
        <v>1</v>
      </c>
      <c r="N9" s="149"/>
      <c r="O9" s="22" t="e">
        <f>N9/$N$127</f>
        <v>#DIV/0!</v>
      </c>
      <c r="P9" s="21">
        <v>0.125</v>
      </c>
      <c r="Q9" s="20">
        <f t="shared" si="1"/>
        <v>0.125</v>
      </c>
      <c r="R9" s="19"/>
    </row>
    <row r="10" spans="1:18" x14ac:dyDescent="0.25">
      <c r="A10" s="121"/>
      <c r="B10" s="122"/>
      <c r="C10" s="25" t="s">
        <v>95</v>
      </c>
      <c r="D10" s="25" t="s">
        <v>94</v>
      </c>
      <c r="E10" s="25" t="s">
        <v>93</v>
      </c>
      <c r="F10" s="25"/>
      <c r="G10" s="26" t="s">
        <v>374</v>
      </c>
      <c r="H10" s="135"/>
      <c r="I10" s="142" t="s">
        <v>4</v>
      </c>
      <c r="J10" s="143">
        <f>J300</f>
        <v>0</v>
      </c>
      <c r="K10" s="148"/>
      <c r="L10" s="159">
        <v>0</v>
      </c>
      <c r="M10" s="24">
        <f t="shared" si="0"/>
        <v>0</v>
      </c>
      <c r="N10" s="149"/>
      <c r="O10" s="22"/>
      <c r="P10" s="21">
        <v>4.1666666666666699E-2</v>
      </c>
      <c r="Q10" s="20">
        <f t="shared" si="1"/>
        <v>0</v>
      </c>
      <c r="R10" s="19"/>
    </row>
    <row r="11" spans="1:18" x14ac:dyDescent="0.25">
      <c r="A11" s="121"/>
      <c r="B11" s="122"/>
      <c r="C11" s="25" t="s">
        <v>95</v>
      </c>
      <c r="D11" s="25" t="s">
        <v>94</v>
      </c>
      <c r="E11" s="25" t="s">
        <v>93</v>
      </c>
      <c r="F11" s="25"/>
      <c r="G11" s="26" t="s">
        <v>373</v>
      </c>
      <c r="H11" s="135"/>
      <c r="I11" s="142" t="s">
        <v>4</v>
      </c>
      <c r="J11" s="143">
        <f>J301+J356</f>
        <v>1</v>
      </c>
      <c r="K11" s="148"/>
      <c r="L11" s="159">
        <v>0</v>
      </c>
      <c r="M11" s="24">
        <f t="shared" si="0"/>
        <v>1</v>
      </c>
      <c r="N11" s="149"/>
      <c r="O11" s="22"/>
      <c r="P11" s="21">
        <v>0.125</v>
      </c>
      <c r="Q11" s="20">
        <f t="shared" si="1"/>
        <v>0.125</v>
      </c>
      <c r="R11" s="19"/>
    </row>
    <row r="12" spans="1:18" x14ac:dyDescent="0.25">
      <c r="A12" s="121"/>
      <c r="B12" s="122"/>
      <c r="C12" s="25" t="s">
        <v>95</v>
      </c>
      <c r="D12" s="25" t="s">
        <v>94</v>
      </c>
      <c r="E12" s="25" t="s">
        <v>93</v>
      </c>
      <c r="F12" s="25"/>
      <c r="G12" s="26" t="s">
        <v>372</v>
      </c>
      <c r="H12" s="135"/>
      <c r="I12" s="142" t="s">
        <v>4</v>
      </c>
      <c r="J12" s="143">
        <f>(IF([1]Données!$D$22=G302,1,0))</f>
        <v>0</v>
      </c>
      <c r="K12" s="148"/>
      <c r="L12" s="159">
        <v>0</v>
      </c>
      <c r="M12" s="24">
        <f t="shared" si="0"/>
        <v>0</v>
      </c>
      <c r="N12" s="149"/>
      <c r="O12" s="22"/>
      <c r="P12" s="21">
        <v>4.1666666666666699E-2</v>
      </c>
      <c r="Q12" s="20">
        <f t="shared" si="1"/>
        <v>0</v>
      </c>
      <c r="R12" s="19"/>
    </row>
    <row r="13" spans="1:18" ht="17.25" x14ac:dyDescent="0.3">
      <c r="A13" s="121"/>
      <c r="H13" s="136"/>
      <c r="J13" s="4"/>
      <c r="L13" s="39"/>
      <c r="M13" s="6"/>
      <c r="N13" s="150"/>
      <c r="O13" s="92" t="e">
        <f>N13/$N$127</f>
        <v>#DIV/0!</v>
      </c>
      <c r="P13" s="114"/>
      <c r="Q13" s="15">
        <f>SUM(Q5:Q12)</f>
        <v>1.583333333333333</v>
      </c>
      <c r="R13" s="1"/>
    </row>
    <row r="14" spans="1:18" x14ac:dyDescent="0.25">
      <c r="A14" s="121"/>
      <c r="H14" s="137"/>
      <c r="L14" s="111"/>
      <c r="N14" s="4"/>
      <c r="O14" s="48"/>
      <c r="P14" s="114"/>
      <c r="Q14" s="50"/>
      <c r="R14" s="50"/>
    </row>
    <row r="15" spans="1:18" ht="13.9" customHeight="1" x14ac:dyDescent="0.25">
      <c r="A15" s="121"/>
      <c r="B15" s="122" t="s">
        <v>371</v>
      </c>
      <c r="C15" s="25" t="s">
        <v>277</v>
      </c>
      <c r="D15" s="25" t="s">
        <v>267</v>
      </c>
      <c r="E15" s="25" t="s">
        <v>269</v>
      </c>
      <c r="F15" s="27"/>
      <c r="G15" s="26" t="s">
        <v>268</v>
      </c>
      <c r="H15" s="135"/>
      <c r="I15" s="142" t="s">
        <v>4</v>
      </c>
      <c r="J15" s="143">
        <f>[1]Données!E15</f>
        <v>3</v>
      </c>
      <c r="K15" s="148"/>
      <c r="L15" s="159">
        <v>0</v>
      </c>
      <c r="M15" s="24">
        <f>(J15*L15+J15)</f>
        <v>3</v>
      </c>
      <c r="N15" s="149"/>
      <c r="O15" s="22" t="e">
        <f t="shared" ref="O15:O20" si="2">N15/$N$127</f>
        <v>#DIV/0!</v>
      </c>
      <c r="P15" s="21">
        <v>2.0833333333333301E-2</v>
      </c>
      <c r="Q15" s="20">
        <f>P15*J15</f>
        <v>6.2499999999999903E-2</v>
      </c>
      <c r="R15" s="19"/>
    </row>
    <row r="16" spans="1:18" hidden="1" x14ac:dyDescent="0.25">
      <c r="A16" s="121"/>
      <c r="B16" s="122"/>
      <c r="C16" s="95" t="s">
        <v>277</v>
      </c>
      <c r="D16" s="95" t="s">
        <v>267</v>
      </c>
      <c r="E16" s="95" t="s">
        <v>296</v>
      </c>
      <c r="F16" s="95"/>
      <c r="G16" s="96" t="s">
        <v>370</v>
      </c>
      <c r="H16" s="53"/>
      <c r="I16" s="115" t="s">
        <v>4</v>
      </c>
      <c r="J16" s="145">
        <v>0</v>
      </c>
      <c r="K16" s="93"/>
      <c r="L16" s="160"/>
      <c r="M16" s="94">
        <f>ROUNDUP(J16*L16/100+J16,)</f>
        <v>0</v>
      </c>
      <c r="N16" s="93"/>
      <c r="O16" s="30" t="e">
        <f t="shared" si="2"/>
        <v>#DIV/0!</v>
      </c>
      <c r="P16" s="116">
        <v>0</v>
      </c>
      <c r="Q16" s="93"/>
      <c r="R16" s="19"/>
    </row>
    <row r="17" spans="1:47" x14ac:dyDescent="0.25">
      <c r="A17" s="121"/>
      <c r="B17" s="122"/>
      <c r="C17" s="25" t="s">
        <v>277</v>
      </c>
      <c r="D17" s="25" t="s">
        <v>267</v>
      </c>
      <c r="E17" s="25" t="s">
        <v>266</v>
      </c>
      <c r="F17" s="25"/>
      <c r="G17" s="26" t="s">
        <v>265</v>
      </c>
      <c r="H17" s="135"/>
      <c r="I17" s="142" t="s">
        <v>4</v>
      </c>
      <c r="J17" s="143">
        <f>[1]Données!E16</f>
        <v>1</v>
      </c>
      <c r="K17" s="148"/>
      <c r="L17" s="159">
        <v>0</v>
      </c>
      <c r="M17" s="24">
        <f>(J17*L17+J17)</f>
        <v>1</v>
      </c>
      <c r="N17" s="149"/>
      <c r="O17" s="22" t="e">
        <f t="shared" si="2"/>
        <v>#DIV/0!</v>
      </c>
      <c r="P17" s="21">
        <v>1.0416666666666701E-2</v>
      </c>
      <c r="Q17" s="20">
        <f>P17*J17</f>
        <v>1.0416666666666701E-2</v>
      </c>
      <c r="R17" s="19"/>
    </row>
    <row r="18" spans="1:47" hidden="1" x14ac:dyDescent="0.25">
      <c r="A18" s="121"/>
      <c r="B18" s="122"/>
      <c r="C18" s="95" t="s">
        <v>277</v>
      </c>
      <c r="D18" s="95" t="s">
        <v>267</v>
      </c>
      <c r="E18" s="95" t="s">
        <v>296</v>
      </c>
      <c r="F18" s="95"/>
      <c r="G18" s="96" t="s">
        <v>369</v>
      </c>
      <c r="H18" s="53"/>
      <c r="I18" s="115" t="s">
        <v>4</v>
      </c>
      <c r="J18" s="145">
        <v>0</v>
      </c>
      <c r="K18" s="93"/>
      <c r="L18" s="160"/>
      <c r="M18" s="94">
        <f>ROUNDUP(J18*L18/100+J18,)</f>
        <v>0</v>
      </c>
      <c r="N18" s="93"/>
      <c r="O18" s="30" t="e">
        <f t="shared" si="2"/>
        <v>#DIV/0!</v>
      </c>
      <c r="P18" s="116"/>
      <c r="Q18" s="93"/>
      <c r="R18" s="93"/>
    </row>
    <row r="19" spans="1:47" hidden="1" x14ac:dyDescent="0.25">
      <c r="A19" s="121"/>
      <c r="B19" s="122"/>
      <c r="C19" s="95" t="s">
        <v>277</v>
      </c>
      <c r="D19" s="95" t="s">
        <v>267</v>
      </c>
      <c r="E19" s="95" t="s">
        <v>368</v>
      </c>
      <c r="F19" s="95"/>
      <c r="G19" s="96" t="s">
        <v>368</v>
      </c>
      <c r="H19" s="53"/>
      <c r="I19" s="115"/>
      <c r="J19" s="145">
        <v>0</v>
      </c>
      <c r="K19" s="93"/>
      <c r="L19" s="160"/>
      <c r="M19" s="94">
        <f>ROUNDUP(J19*L19/100+J19,)</f>
        <v>0</v>
      </c>
      <c r="N19" s="93"/>
      <c r="O19" s="30" t="e">
        <f t="shared" si="2"/>
        <v>#DIV/0!</v>
      </c>
      <c r="P19" s="116"/>
      <c r="Q19" s="93"/>
      <c r="R19" s="93"/>
    </row>
    <row r="20" spans="1:47" ht="17.25" x14ac:dyDescent="0.3">
      <c r="A20" s="121"/>
      <c r="H20" s="137"/>
      <c r="K20" s="113"/>
      <c r="L20" s="161"/>
      <c r="M20" s="112"/>
      <c r="N20" s="150"/>
      <c r="O20" s="92" t="e">
        <f t="shared" si="2"/>
        <v>#DIV/0!</v>
      </c>
      <c r="P20" s="114"/>
      <c r="Q20" s="15">
        <f>SUM(Q15:Q19)</f>
        <v>7.2916666666666602E-2</v>
      </c>
      <c r="R20" s="113"/>
    </row>
    <row r="21" spans="1:47" x14ac:dyDescent="0.25">
      <c r="A21" s="121"/>
      <c r="B21" s="106"/>
      <c r="C21" s="49"/>
      <c r="D21" s="49"/>
      <c r="E21" s="49"/>
      <c r="F21" s="49"/>
      <c r="G21" s="51"/>
      <c r="H21" s="138"/>
      <c r="I21" s="50"/>
      <c r="J21" s="146"/>
      <c r="K21" s="107"/>
      <c r="L21" s="162"/>
      <c r="M21" s="13"/>
      <c r="N21" s="107"/>
      <c r="O21" s="48"/>
      <c r="P21" s="108"/>
      <c r="Q21" s="107"/>
      <c r="R21" s="107"/>
    </row>
    <row r="22" spans="1:47" ht="13.9" customHeight="1" x14ac:dyDescent="0.25">
      <c r="A22" s="121"/>
      <c r="B22" s="122" t="s">
        <v>367</v>
      </c>
      <c r="C22" s="25" t="s">
        <v>277</v>
      </c>
      <c r="D22" s="25" t="s">
        <v>267</v>
      </c>
      <c r="E22" s="25" t="s">
        <v>269</v>
      </c>
      <c r="F22" s="27"/>
      <c r="G22" s="26" t="s">
        <v>268</v>
      </c>
      <c r="H22" s="135"/>
      <c r="I22" s="142" t="s">
        <v>4</v>
      </c>
      <c r="J22" s="143">
        <f>J15</f>
        <v>3</v>
      </c>
      <c r="K22" s="148"/>
      <c r="L22" s="159">
        <v>0</v>
      </c>
      <c r="M22" s="24">
        <f>(J22*L22+J22)</f>
        <v>3</v>
      </c>
      <c r="N22" s="149"/>
      <c r="O22" s="22"/>
      <c r="P22" s="21">
        <v>0.21354166666666699</v>
      </c>
      <c r="Q22" s="20">
        <f>P22*J22</f>
        <v>0.640625000000001</v>
      </c>
      <c r="R22" s="19"/>
    </row>
    <row r="23" spans="1:47" ht="35.25" customHeight="1" x14ac:dyDescent="0.25">
      <c r="A23" s="121"/>
      <c r="B23" s="122"/>
      <c r="C23" s="25" t="s">
        <v>277</v>
      </c>
      <c r="D23" s="25" t="s">
        <v>267</v>
      </c>
      <c r="E23" s="25" t="s">
        <v>266</v>
      </c>
      <c r="F23" s="27"/>
      <c r="G23" s="26" t="s">
        <v>265</v>
      </c>
      <c r="H23" s="135"/>
      <c r="I23" s="142" t="s">
        <v>4</v>
      </c>
      <c r="J23" s="143">
        <f>J17</f>
        <v>1</v>
      </c>
      <c r="K23" s="148"/>
      <c r="L23" s="159">
        <v>0</v>
      </c>
      <c r="M23" s="24">
        <f>(J23*L23+J23)</f>
        <v>1</v>
      </c>
      <c r="N23" s="149"/>
      <c r="O23" s="22"/>
      <c r="P23" s="21">
        <v>0.202777777777778</v>
      </c>
      <c r="Q23" s="20">
        <f>P23*J23</f>
        <v>0.202777777777778</v>
      </c>
      <c r="R23" s="19"/>
    </row>
    <row r="24" spans="1:47" ht="17.25" x14ac:dyDescent="0.3">
      <c r="A24" s="121"/>
      <c r="B24" s="1"/>
      <c r="C24" s="1"/>
      <c r="D24" s="1"/>
      <c r="E24" s="1"/>
      <c r="F24" s="1"/>
      <c r="G24" s="44"/>
      <c r="H24" s="43"/>
      <c r="I24" s="42"/>
      <c r="J24" s="42"/>
      <c r="K24" s="42"/>
      <c r="L24" s="43"/>
      <c r="M24" s="1"/>
      <c r="N24" s="150"/>
      <c r="O24" s="17"/>
      <c r="P24" s="16"/>
      <c r="Q24" s="15">
        <f>SUM(Q22:Q23)</f>
        <v>0.84340277777777906</v>
      </c>
      <c r="R24" s="52"/>
    </row>
    <row r="25" spans="1:47" x14ac:dyDescent="0.25">
      <c r="A25" s="121"/>
      <c r="B25" s="1"/>
      <c r="C25" s="1"/>
      <c r="D25" s="1"/>
      <c r="E25" s="1"/>
      <c r="F25" s="1"/>
      <c r="G25" s="44"/>
      <c r="H25" s="43"/>
      <c r="I25" s="42"/>
      <c r="J25" s="42"/>
      <c r="K25" s="42"/>
      <c r="L25" s="43"/>
      <c r="M25" s="1"/>
      <c r="N25" s="42"/>
      <c r="O25" s="1"/>
      <c r="P25" s="43"/>
      <c r="Q25" s="42"/>
      <c r="R25" s="42"/>
    </row>
    <row r="26" spans="1:47" ht="13.9" customHeight="1" x14ac:dyDescent="0.25">
      <c r="A26" s="121"/>
      <c r="B26" s="122" t="s">
        <v>354</v>
      </c>
      <c r="C26" s="25" t="s">
        <v>221</v>
      </c>
      <c r="D26" s="25" t="s">
        <v>354</v>
      </c>
      <c r="E26" s="25" t="s">
        <v>366</v>
      </c>
      <c r="F26" s="25"/>
      <c r="G26" s="26" t="s">
        <v>365</v>
      </c>
      <c r="H26" s="135"/>
      <c r="I26" s="142" t="s">
        <v>38</v>
      </c>
      <c r="J26" s="143">
        <f>[1]Données!E20/0.6*3</f>
        <v>230.65000000000003</v>
      </c>
      <c r="K26" s="148"/>
      <c r="L26" s="159">
        <v>0.05</v>
      </c>
      <c r="M26" s="24">
        <f t="shared" ref="M26:M37" si="3">(J26*L26+J26)</f>
        <v>242.18250000000003</v>
      </c>
      <c r="N26" s="149"/>
      <c r="O26" s="22" t="e">
        <f t="shared" ref="O26:O38" si="4">N26/$N$127</f>
        <v>#DIV/0!</v>
      </c>
      <c r="P26" s="21">
        <v>4.3402777777777797E-3</v>
      </c>
      <c r="Q26" s="20">
        <f t="shared" ref="Q26:Q37" si="5">P26*J26</f>
        <v>1.0010850694444451</v>
      </c>
      <c r="R26" s="19"/>
    </row>
    <row r="27" spans="1:47" x14ac:dyDescent="0.25">
      <c r="A27" s="121"/>
      <c r="B27" s="122"/>
      <c r="C27" s="25" t="s">
        <v>221</v>
      </c>
      <c r="D27" s="25" t="s">
        <v>354</v>
      </c>
      <c r="E27" s="25" t="s">
        <v>364</v>
      </c>
      <c r="F27" s="25"/>
      <c r="G27" s="26" t="str">
        <f>$G$26</f>
        <v>MBOC Sapin sec CL2 R4F 45x95mm</v>
      </c>
      <c r="H27" s="135"/>
      <c r="I27" s="142" t="s">
        <v>38</v>
      </c>
      <c r="J27" s="143">
        <f>[1]Données!E20*2</f>
        <v>92.26</v>
      </c>
      <c r="K27" s="148"/>
      <c r="L27" s="159">
        <v>0.05</v>
      </c>
      <c r="M27" s="24">
        <f t="shared" si="3"/>
        <v>96.873000000000005</v>
      </c>
      <c r="N27" s="149"/>
      <c r="O27" s="22" t="e">
        <f t="shared" si="4"/>
        <v>#DIV/0!</v>
      </c>
      <c r="P27" s="21">
        <f>P26</f>
        <v>4.3402777777777797E-3</v>
      </c>
      <c r="Q27" s="20">
        <f t="shared" si="5"/>
        <v>0.40043402777777798</v>
      </c>
      <c r="R27" s="19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</row>
    <row r="28" spans="1:47" x14ac:dyDescent="0.25">
      <c r="A28" s="121"/>
      <c r="B28" s="122"/>
      <c r="C28" s="25" t="s">
        <v>221</v>
      </c>
      <c r="D28" s="25" t="s">
        <v>354</v>
      </c>
      <c r="E28" s="25" t="s">
        <v>363</v>
      </c>
      <c r="F28" s="25"/>
      <c r="G28" s="26" t="str">
        <f>$G$26</f>
        <v>MBOC Sapin sec CL2 R4F 45x95mm</v>
      </c>
      <c r="H28" s="135"/>
      <c r="I28" s="142" t="s">
        <v>38</v>
      </c>
      <c r="J28" s="143">
        <f>(([1]Données!E15+[1]Données!E16)*4+((([1]Données!E15*2+[1]Données!E16)-[1]Données!E29)*2))*3</f>
        <v>57</v>
      </c>
      <c r="K28" s="148"/>
      <c r="L28" s="159">
        <v>0.05</v>
      </c>
      <c r="M28" s="24">
        <f t="shared" si="3"/>
        <v>59.85</v>
      </c>
      <c r="N28" s="149"/>
      <c r="O28" s="22" t="e">
        <f t="shared" si="4"/>
        <v>#DIV/0!</v>
      </c>
      <c r="P28" s="21">
        <f>P26</f>
        <v>4.3402777777777797E-3</v>
      </c>
      <c r="Q28" s="20">
        <f t="shared" si="5"/>
        <v>0.24739583333333345</v>
      </c>
      <c r="R28" s="19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</row>
    <row r="29" spans="1:47" x14ac:dyDescent="0.25">
      <c r="A29" s="121"/>
      <c r="B29" s="122"/>
      <c r="C29" s="25" t="s">
        <v>221</v>
      </c>
      <c r="D29" s="25" t="s">
        <v>354</v>
      </c>
      <c r="E29" s="25" t="s">
        <v>360</v>
      </c>
      <c r="F29" s="25"/>
      <c r="G29" s="26" t="str">
        <f>$G$26</f>
        <v>MBOC Sapin sec CL2 R4F 45x95mm</v>
      </c>
      <c r="H29" s="135"/>
      <c r="I29" s="142" t="s">
        <v>38</v>
      </c>
      <c r="J29" s="143">
        <f>(((0.6+0.85)*2*J90)+((1.2+1.25)*2*J91)+((1.2+1.05)*2*J92)+((1.6+1.05)*2*J93)+((1.4+2.15)*2*J94)+((1.8+2.15)*2*J95)+((2.2+2.15)*2*J96)+((2.4+2.15)*2*J97)+((3.8*2.15)*2*J98)+((0.9+2.15)*2*J100)+((1.4+2.15)*2*J101)+((0.6+1.95)*2*J102))</f>
        <v>48.2</v>
      </c>
      <c r="K29" s="148"/>
      <c r="L29" s="159">
        <v>0.05</v>
      </c>
      <c r="M29" s="24">
        <f t="shared" si="3"/>
        <v>50.61</v>
      </c>
      <c r="N29" s="149"/>
      <c r="O29" s="22" t="e">
        <f t="shared" si="4"/>
        <v>#DIV/0!</v>
      </c>
      <c r="P29" s="21">
        <f>P26</f>
        <v>4.3402777777777797E-3</v>
      </c>
      <c r="Q29" s="20">
        <f t="shared" si="5"/>
        <v>0.20920138888888901</v>
      </c>
      <c r="R29" s="19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</row>
    <row r="30" spans="1:47" x14ac:dyDescent="0.25">
      <c r="A30" s="121"/>
      <c r="B30" s="122"/>
      <c r="C30" s="25" t="s">
        <v>221</v>
      </c>
      <c r="D30" s="25" t="s">
        <v>354</v>
      </c>
      <c r="E30" s="25" t="s">
        <v>362</v>
      </c>
      <c r="F30" s="25"/>
      <c r="G30" s="26" t="str">
        <f>$G$26</f>
        <v>MBOC Sapin sec CL2 R4F 45x95mm</v>
      </c>
      <c r="H30" s="135"/>
      <c r="I30" s="142" t="s">
        <v>38</v>
      </c>
      <c r="J30" s="143">
        <f>([1]Données!$E$20*3)*IF(ISERROR((VLOOKUP(G76,[1]Données!$D$24:$E$26,2,0))="#N/D"),0,(VLOOKUP(G76,[1]Données!$D$24:$E$26,2,0)))*0.13*0.063</f>
        <v>0</v>
      </c>
      <c r="K30" s="148"/>
      <c r="L30" s="159">
        <v>0.05</v>
      </c>
      <c r="M30" s="24">
        <f t="shared" si="3"/>
        <v>0</v>
      </c>
      <c r="N30" s="149"/>
      <c r="O30" s="22" t="e">
        <f t="shared" si="4"/>
        <v>#DIV/0!</v>
      </c>
      <c r="P30" s="21">
        <f>P26</f>
        <v>4.3402777777777797E-3</v>
      </c>
      <c r="Q30" s="20">
        <f t="shared" si="5"/>
        <v>0</v>
      </c>
      <c r="R30" s="19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</row>
    <row r="31" spans="1:47" x14ac:dyDescent="0.25">
      <c r="A31" s="121"/>
      <c r="B31" s="122"/>
      <c r="C31" s="25" t="s">
        <v>221</v>
      </c>
      <c r="D31" s="25" t="s">
        <v>354</v>
      </c>
      <c r="E31" s="25" t="s">
        <v>360</v>
      </c>
      <c r="F31" s="25"/>
      <c r="G31" s="26" t="s">
        <v>361</v>
      </c>
      <c r="H31" s="135"/>
      <c r="I31" s="142" t="s">
        <v>332</v>
      </c>
      <c r="J31" s="143">
        <f>(((0.6+0.85)*2*J90)+((1.2+1.25)*2*J91)+((1.2+1.05)*2*J92)+((1.6+1.05)*2*J93)+((1.4+2.15)*2*J94)+((1.8+2.15)*2*J95)+((2.2+2.15)*2*J96)+((2.4+2.15)*2*J97)+((3.8*2.15)*2*J98)+((0.9+2.15)*2*J100)+((1.4+2.15)*2*J101)+((0.6+1.95)*2*J102))*0.2</f>
        <v>9.64</v>
      </c>
      <c r="K31" s="148"/>
      <c r="L31" s="159">
        <v>0.1</v>
      </c>
      <c r="M31" s="24">
        <f t="shared" si="3"/>
        <v>10.604000000000001</v>
      </c>
      <c r="N31" s="149"/>
      <c r="O31" s="22" t="e">
        <f t="shared" si="4"/>
        <v>#DIV/0!</v>
      </c>
      <c r="P31" s="21">
        <v>2.0833333333333301E-2</v>
      </c>
      <c r="Q31" s="20">
        <f t="shared" si="5"/>
        <v>0.20083333333333303</v>
      </c>
      <c r="R31" s="19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</row>
    <row r="32" spans="1:47" x14ac:dyDescent="0.25">
      <c r="A32" s="121"/>
      <c r="B32" s="122"/>
      <c r="C32" s="25" t="s">
        <v>221</v>
      </c>
      <c r="D32" s="25" t="s">
        <v>354</v>
      </c>
      <c r="E32" s="25" t="s">
        <v>360</v>
      </c>
      <c r="F32" s="25"/>
      <c r="G32" s="26" t="s">
        <v>359</v>
      </c>
      <c r="H32" s="135"/>
      <c r="I32" s="142" t="s">
        <v>332</v>
      </c>
      <c r="J32" s="143">
        <f>(((0.6+0.85)*2*J90)+((1.2+1.25)*2*J91)+((1.2+1.05)*2*J92)+((1.6+1.05)*2*J93)+((1.4+2.15)*2*J94)+((1.8+2.15)*2*J95)+((2.2+2.15)*2*J96)+((2.4+2.15)*2*J97)+((3.8*2.15)*2*J98)+((0.9+2.15)*2*J100)+((1.4+2.15)*2*J101)+((0.6+1.95)*2*J102))*0.06*0.04</f>
        <v>0.11568000000000001</v>
      </c>
      <c r="K32" s="148"/>
      <c r="L32" s="159">
        <v>0.15</v>
      </c>
      <c r="M32" s="24">
        <f t="shared" si="3"/>
        <v>0.13303200000000001</v>
      </c>
      <c r="N32" s="149"/>
      <c r="O32" s="22" t="e">
        <f t="shared" si="4"/>
        <v>#DIV/0!</v>
      </c>
      <c r="P32" s="21">
        <v>1.6666666666666701</v>
      </c>
      <c r="Q32" s="20">
        <f t="shared" si="5"/>
        <v>0.19280000000000042</v>
      </c>
      <c r="R32" s="19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</row>
    <row r="33" spans="1:47" ht="30" x14ac:dyDescent="0.25">
      <c r="A33" s="121"/>
      <c r="B33" s="122"/>
      <c r="C33" s="25" t="s">
        <v>221</v>
      </c>
      <c r="D33" s="25" t="s">
        <v>354</v>
      </c>
      <c r="E33" s="25" t="s">
        <v>330</v>
      </c>
      <c r="F33" s="25"/>
      <c r="G33" s="26" t="s">
        <v>358</v>
      </c>
      <c r="H33" s="135"/>
      <c r="I33" s="142" t="s">
        <v>4</v>
      </c>
      <c r="J33" s="143">
        <f>[1]Données!E20/0.6+[1]Données!E20/1.2</f>
        <v>115.32500000000002</v>
      </c>
      <c r="K33" s="148"/>
      <c r="L33" s="159">
        <v>0</v>
      </c>
      <c r="M33" s="24">
        <f t="shared" si="3"/>
        <v>115.32500000000002</v>
      </c>
      <c r="N33" s="149"/>
      <c r="O33" s="22" t="e">
        <f t="shared" si="4"/>
        <v>#DIV/0!</v>
      </c>
      <c r="P33" s="21">
        <v>2.0833333333333298E-3</v>
      </c>
      <c r="Q33" s="20">
        <f t="shared" si="5"/>
        <v>0.24026041666666631</v>
      </c>
      <c r="R33" s="19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</row>
    <row r="34" spans="1:47" ht="30" x14ac:dyDescent="0.25">
      <c r="A34" s="121"/>
      <c r="B34" s="122"/>
      <c r="C34" s="25" t="s">
        <v>221</v>
      </c>
      <c r="D34" s="25" t="s">
        <v>354</v>
      </c>
      <c r="E34" s="25" t="s">
        <v>330</v>
      </c>
      <c r="F34" s="25"/>
      <c r="G34" s="26" t="s">
        <v>357</v>
      </c>
      <c r="H34" s="135"/>
      <c r="I34" s="142" t="s">
        <v>4</v>
      </c>
      <c r="J34" s="143">
        <f>ROUNDUP(([1]Données!$E$20*3)*IF(ISERROR((VLOOKUP(G76,[1]Données!$D$24:$E$26,2,0))="#N/D"),0,(VLOOKUP(G76,[1]Données!$D$24:$E$26,2,0)))*2,0)</f>
        <v>0</v>
      </c>
      <c r="K34" s="148"/>
      <c r="L34" s="159">
        <v>0</v>
      </c>
      <c r="M34" s="24">
        <f t="shared" si="3"/>
        <v>0</v>
      </c>
      <c r="N34" s="149"/>
      <c r="O34" s="22" t="e">
        <f t="shared" si="4"/>
        <v>#DIV/0!</v>
      </c>
      <c r="P34" s="21">
        <v>2.0833333333333298E-3</v>
      </c>
      <c r="Q34" s="20">
        <f t="shared" si="5"/>
        <v>0</v>
      </c>
      <c r="R34" s="19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</row>
    <row r="35" spans="1:47" x14ac:dyDescent="0.25">
      <c r="A35" s="121"/>
      <c r="B35" s="122"/>
      <c r="C35" s="25" t="s">
        <v>221</v>
      </c>
      <c r="D35" s="25" t="s">
        <v>354</v>
      </c>
      <c r="E35" s="25" t="s">
        <v>330</v>
      </c>
      <c r="F35" s="25"/>
      <c r="G35" s="26" t="s">
        <v>356</v>
      </c>
      <c r="H35" s="135"/>
      <c r="I35" s="142" t="s">
        <v>4</v>
      </c>
      <c r="J35" s="143">
        <f>[1]Données!E15*20+[1]Données!E16*20</f>
        <v>80</v>
      </c>
      <c r="K35" s="148"/>
      <c r="L35" s="159">
        <v>0</v>
      </c>
      <c r="M35" s="24">
        <f t="shared" si="3"/>
        <v>80</v>
      </c>
      <c r="N35" s="149"/>
      <c r="O35" s="22" t="e">
        <f t="shared" si="4"/>
        <v>#DIV/0!</v>
      </c>
      <c r="P35" s="21">
        <v>2.7777777777777801E-3</v>
      </c>
      <c r="Q35" s="20">
        <f t="shared" si="5"/>
        <v>0.2222222222222224</v>
      </c>
      <c r="R35" s="19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</row>
    <row r="36" spans="1:47" x14ac:dyDescent="0.25">
      <c r="A36" s="121"/>
      <c r="B36" s="122"/>
      <c r="C36" s="25" t="s">
        <v>221</v>
      </c>
      <c r="D36" s="25" t="s">
        <v>354</v>
      </c>
      <c r="E36" s="25" t="s">
        <v>330</v>
      </c>
      <c r="F36" s="25"/>
      <c r="G36" s="26" t="s">
        <v>355</v>
      </c>
      <c r="H36" s="135"/>
      <c r="I36" s="142" t="s">
        <v>4</v>
      </c>
      <c r="J36" s="143">
        <f>SUM(J33:J35)*8</f>
        <v>1562.6000000000001</v>
      </c>
      <c r="K36" s="148"/>
      <c r="L36" s="159">
        <v>0.2</v>
      </c>
      <c r="M36" s="24">
        <f t="shared" si="3"/>
        <v>1875.1200000000001</v>
      </c>
      <c r="N36" s="149"/>
      <c r="O36" s="22" t="e">
        <f t="shared" si="4"/>
        <v>#DIV/0!</v>
      </c>
      <c r="P36" s="21">
        <v>0</v>
      </c>
      <c r="Q36" s="20">
        <f t="shared" si="5"/>
        <v>0</v>
      </c>
      <c r="R36" s="19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</row>
    <row r="37" spans="1:47" x14ac:dyDescent="0.25">
      <c r="A37" s="121"/>
      <c r="B37" s="122"/>
      <c r="C37" s="25" t="s">
        <v>221</v>
      </c>
      <c r="D37" s="25" t="s">
        <v>354</v>
      </c>
      <c r="E37" s="25" t="s">
        <v>330</v>
      </c>
      <c r="F37" s="25"/>
      <c r="G37" s="26" t="s">
        <v>353</v>
      </c>
      <c r="H37" s="135"/>
      <c r="I37" s="142" t="s">
        <v>4</v>
      </c>
      <c r="J37" s="143">
        <f>SUM(J33:J35)*4</f>
        <v>781.30000000000007</v>
      </c>
      <c r="K37" s="148"/>
      <c r="L37" s="159">
        <v>0.2</v>
      </c>
      <c r="M37" s="24">
        <f t="shared" si="3"/>
        <v>937.56000000000006</v>
      </c>
      <c r="N37" s="149"/>
      <c r="O37" s="22" t="e">
        <f t="shared" si="4"/>
        <v>#DIV/0!</v>
      </c>
      <c r="P37" s="21">
        <v>0</v>
      </c>
      <c r="Q37" s="20">
        <f t="shared" si="5"/>
        <v>0</v>
      </c>
      <c r="R37" s="19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</row>
    <row r="38" spans="1:47" ht="17.25" x14ac:dyDescent="0.3">
      <c r="A38" s="121"/>
      <c r="H38" s="39"/>
      <c r="K38" s="110"/>
      <c r="L38" s="111"/>
      <c r="M38" s="109"/>
      <c r="N38" s="150"/>
      <c r="O38" s="92" t="e">
        <f t="shared" si="4"/>
        <v>#DIV/0!</v>
      </c>
      <c r="P38" s="111"/>
      <c r="Q38" s="15">
        <f>SUM(Q26:Q37)</f>
        <v>2.7142322916666677</v>
      </c>
      <c r="R38" s="110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</row>
    <row r="39" spans="1:47" ht="16.149999999999999" customHeight="1" x14ac:dyDescent="0.25">
      <c r="A39" s="121"/>
      <c r="B39" s="1"/>
      <c r="C39" s="1"/>
      <c r="D39" s="1"/>
      <c r="E39" s="1"/>
      <c r="F39" s="1"/>
      <c r="G39" s="1"/>
      <c r="H39" s="42"/>
      <c r="I39" s="42"/>
      <c r="J39" s="42"/>
      <c r="K39" s="42"/>
      <c r="L39" s="42"/>
      <c r="M39" s="1"/>
      <c r="N39" s="42"/>
      <c r="O39" s="1"/>
      <c r="P39" s="1"/>
      <c r="Q39" s="1"/>
      <c r="R39" s="1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</row>
    <row r="40" spans="1:47" ht="13.9" customHeight="1" x14ac:dyDescent="0.25">
      <c r="A40" s="121"/>
      <c r="B40" s="122" t="s">
        <v>351</v>
      </c>
      <c r="C40" s="25" t="s">
        <v>221</v>
      </c>
      <c r="D40" s="25" t="s">
        <v>220</v>
      </c>
      <c r="E40" s="25" t="s">
        <v>351</v>
      </c>
      <c r="F40" s="27"/>
      <c r="G40" s="26" t="s">
        <v>352</v>
      </c>
      <c r="H40" s="135"/>
      <c r="I40" s="142" t="s">
        <v>44</v>
      </c>
      <c r="J40" s="143">
        <f>J45</f>
        <v>107.10000000000001</v>
      </c>
      <c r="K40" s="148"/>
      <c r="L40" s="159">
        <v>0.05</v>
      </c>
      <c r="M40" s="24">
        <f>(J40*L40+J40)</f>
        <v>112.45500000000001</v>
      </c>
      <c r="N40" s="149"/>
      <c r="O40" s="22" t="e">
        <f>N40/$N$127</f>
        <v>#DIV/0!</v>
      </c>
      <c r="P40" s="21">
        <v>2.1990740740740699E-3</v>
      </c>
      <c r="Q40" s="20">
        <f>P40*J40</f>
        <v>0.2355208333333329</v>
      </c>
      <c r="R40" s="19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</row>
    <row r="41" spans="1:47" x14ac:dyDescent="0.25">
      <c r="A41" s="121"/>
      <c r="B41" s="122"/>
      <c r="C41" s="25" t="s">
        <v>221</v>
      </c>
      <c r="D41" s="25" t="s">
        <v>55</v>
      </c>
      <c r="E41" s="25" t="s">
        <v>351</v>
      </c>
      <c r="F41" s="25"/>
      <c r="G41" s="26" t="s">
        <v>350</v>
      </c>
      <c r="H41" s="135"/>
      <c r="I41" s="142" t="s">
        <v>44</v>
      </c>
      <c r="J41" s="143">
        <f>[1]Données!E20*3</f>
        <v>138.39000000000001</v>
      </c>
      <c r="K41" s="148"/>
      <c r="L41" s="159">
        <v>0.05</v>
      </c>
      <c r="M41" s="24">
        <f>(J41*L41+J41)</f>
        <v>145.30950000000001</v>
      </c>
      <c r="N41" s="149"/>
      <c r="O41" s="22" t="e">
        <f>N41/$N$127</f>
        <v>#DIV/0!</v>
      </c>
      <c r="P41" s="21">
        <v>1.9675925925925898E-3</v>
      </c>
      <c r="Q41" s="20">
        <f>P41*J41</f>
        <v>0.27229513888888851</v>
      </c>
      <c r="R41" s="19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</row>
    <row r="42" spans="1:47" ht="17.25" x14ac:dyDescent="0.3">
      <c r="A42" s="121"/>
      <c r="B42" s="1"/>
      <c r="C42" s="1"/>
      <c r="D42" s="1"/>
      <c r="E42" s="1"/>
      <c r="F42" s="1"/>
      <c r="G42" s="44"/>
      <c r="H42" s="43"/>
      <c r="I42" s="42"/>
      <c r="J42" s="42"/>
      <c r="K42" s="42"/>
      <c r="L42" s="43"/>
      <c r="M42" s="1"/>
      <c r="N42" s="150"/>
      <c r="O42" s="17"/>
      <c r="P42" s="16"/>
      <c r="Q42" s="15">
        <f>SUM(Q40:Q41)</f>
        <v>0.50781597222222141</v>
      </c>
      <c r="R42" s="52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</row>
    <row r="43" spans="1:47" x14ac:dyDescent="0.25">
      <c r="A43" s="121"/>
      <c r="B43" s="106"/>
      <c r="C43" s="49"/>
      <c r="D43" s="49"/>
      <c r="E43" s="49"/>
      <c r="F43" s="49"/>
      <c r="G43" s="51"/>
      <c r="H43" s="138"/>
      <c r="I43" s="50"/>
      <c r="J43" s="146"/>
      <c r="K43" s="107"/>
      <c r="L43" s="162"/>
      <c r="M43" s="13"/>
      <c r="N43" s="107"/>
      <c r="O43" s="48"/>
      <c r="P43" s="108"/>
      <c r="Q43" s="107"/>
      <c r="R43" s="107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</row>
    <row r="44" spans="1:47" x14ac:dyDescent="0.25">
      <c r="A44" s="121"/>
      <c r="B44" s="1"/>
      <c r="C44" s="1"/>
      <c r="D44" s="1"/>
      <c r="E44" s="1"/>
      <c r="F44" s="1"/>
      <c r="G44" s="44"/>
      <c r="H44" s="43"/>
      <c r="I44" s="42"/>
      <c r="J44" s="42"/>
      <c r="K44" s="42"/>
      <c r="L44" s="43"/>
      <c r="M44" s="1"/>
      <c r="N44" s="42"/>
      <c r="O44" s="1"/>
      <c r="P44" s="43"/>
      <c r="Q44" s="42"/>
      <c r="R44" s="42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</row>
    <row r="45" spans="1:47" ht="13.9" customHeight="1" x14ac:dyDescent="0.25">
      <c r="A45" s="121"/>
      <c r="B45" s="122" t="s">
        <v>349</v>
      </c>
      <c r="C45" s="25" t="s">
        <v>221</v>
      </c>
      <c r="D45" s="25" t="s">
        <v>220</v>
      </c>
      <c r="E45" s="25" t="s">
        <v>348</v>
      </c>
      <c r="F45" s="25"/>
      <c r="G45" s="26" t="s">
        <v>345</v>
      </c>
      <c r="H45" s="135"/>
      <c r="I45" s="142" t="s">
        <v>44</v>
      </c>
      <c r="J45" s="143">
        <f>[1]Données!E17*1.02-[1]Données!E31</f>
        <v>107.10000000000001</v>
      </c>
      <c r="K45" s="148"/>
      <c r="L45" s="159">
        <v>0.15</v>
      </c>
      <c r="M45" s="24">
        <f t="shared" ref="M45:M50" si="6">(J45*L45+J45)</f>
        <v>123.16500000000001</v>
      </c>
      <c r="N45" s="149"/>
      <c r="O45" s="22"/>
      <c r="P45" s="21">
        <v>3.81944444444444E-3</v>
      </c>
      <c r="Q45" s="20">
        <f t="shared" ref="Q45:Q50" si="7">P45*J45</f>
        <v>0.40906249999999955</v>
      </c>
      <c r="R45" s="19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</row>
    <row r="46" spans="1:47" x14ac:dyDescent="0.25">
      <c r="A46" s="121"/>
      <c r="B46" s="122"/>
      <c r="C46" s="25" t="s">
        <v>221</v>
      </c>
      <c r="D46" s="25" t="s">
        <v>220</v>
      </c>
      <c r="E46" s="25" t="s">
        <v>277</v>
      </c>
      <c r="F46" s="25"/>
      <c r="G46" s="26" t="s">
        <v>347</v>
      </c>
      <c r="H46" s="135"/>
      <c r="I46" s="142" t="s">
        <v>332</v>
      </c>
      <c r="J46" s="143">
        <f>(([1]Données!E15*20*2.6+[1]Données!E16*10*2.6)*0.15*0.063)/([1]Données!E17*1.02)*(([1]Données!E17*1.02)-[1]Données!E31)</f>
        <v>1.7199</v>
      </c>
      <c r="K46" s="148"/>
      <c r="L46" s="159">
        <v>0.15</v>
      </c>
      <c r="M46" s="24">
        <f t="shared" si="6"/>
        <v>1.9778849999999999</v>
      </c>
      <c r="N46" s="149"/>
      <c r="O46" s="22" t="e">
        <f>N46/$N$127</f>
        <v>#DIV/0!</v>
      </c>
      <c r="P46" s="21">
        <v>1</v>
      </c>
      <c r="Q46" s="20">
        <f t="shared" si="7"/>
        <v>1.7199</v>
      </c>
      <c r="R46" s="19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</row>
    <row r="47" spans="1:47" x14ac:dyDescent="0.25">
      <c r="A47" s="121"/>
      <c r="B47" s="122"/>
      <c r="C47" s="25" t="s">
        <v>221</v>
      </c>
      <c r="D47" s="25" t="s">
        <v>220</v>
      </c>
      <c r="E47" s="25" t="s">
        <v>346</v>
      </c>
      <c r="F47" s="25"/>
      <c r="G47" s="26" t="s">
        <v>345</v>
      </c>
      <c r="H47" s="135"/>
      <c r="I47" s="142" t="s">
        <v>44</v>
      </c>
      <c r="J47" s="143">
        <f>[1]Données!E20*0.52</f>
        <v>23.9876</v>
      </c>
      <c r="K47" s="148"/>
      <c r="L47" s="159">
        <v>0.15</v>
      </c>
      <c r="M47" s="24">
        <f t="shared" si="6"/>
        <v>27.585740000000001</v>
      </c>
      <c r="N47" s="149"/>
      <c r="O47" s="22" t="e">
        <f>N47/$N$127</f>
        <v>#DIV/0!</v>
      </c>
      <c r="P47" s="21">
        <v>2.0833333333333301E-2</v>
      </c>
      <c r="Q47" s="20">
        <f t="shared" si="7"/>
        <v>0.49974166666666592</v>
      </c>
      <c r="R47" s="19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</row>
    <row r="48" spans="1:47" x14ac:dyDescent="0.25">
      <c r="A48" s="121"/>
      <c r="B48" s="122"/>
      <c r="C48" s="25" t="s">
        <v>221</v>
      </c>
      <c r="D48" s="25" t="s">
        <v>220</v>
      </c>
      <c r="E48" s="25" t="s">
        <v>344</v>
      </c>
      <c r="F48" s="25"/>
      <c r="G48" s="31" t="str">
        <f>G26</f>
        <v>MBOC Sapin sec CL2 R4F 45x95mm</v>
      </c>
      <c r="H48" s="135"/>
      <c r="I48" s="142" t="s">
        <v>38</v>
      </c>
      <c r="J48" s="143">
        <f>([1]Données!E20*2+(([1]Données!E20/0.6)*0.2))</f>
        <v>107.63666666666667</v>
      </c>
      <c r="K48" s="148"/>
      <c r="L48" s="159">
        <v>0.05</v>
      </c>
      <c r="M48" s="24">
        <f t="shared" si="6"/>
        <v>113.0185</v>
      </c>
      <c r="N48" s="149"/>
      <c r="O48" s="22" t="e">
        <f>N48/$N$127</f>
        <v>#DIV/0!</v>
      </c>
      <c r="P48" s="21">
        <f>P26</f>
        <v>4.3402777777777797E-3</v>
      </c>
      <c r="Q48" s="20">
        <f t="shared" si="7"/>
        <v>0.46717303240740765</v>
      </c>
      <c r="R48" s="19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</row>
    <row r="49" spans="1:47" x14ac:dyDescent="0.25">
      <c r="A49" s="121"/>
      <c r="B49" s="122"/>
      <c r="C49" s="25" t="s">
        <v>221</v>
      </c>
      <c r="D49" s="25" t="s">
        <v>220</v>
      </c>
      <c r="E49" s="25" t="s">
        <v>330</v>
      </c>
      <c r="F49" s="25"/>
      <c r="G49" s="26" t="s">
        <v>343</v>
      </c>
      <c r="H49" s="135"/>
      <c r="I49" s="142" t="s">
        <v>4</v>
      </c>
      <c r="J49" s="147">
        <f>([1]Données!E15*17*3+[1]Données!E16*9*3)</f>
        <v>180</v>
      </c>
      <c r="K49" s="148"/>
      <c r="L49" s="159">
        <v>0.2</v>
      </c>
      <c r="M49" s="24">
        <f t="shared" si="6"/>
        <v>216</v>
      </c>
      <c r="N49" s="149"/>
      <c r="O49" s="22" t="e">
        <f>N49/$N$127</f>
        <v>#DIV/0!</v>
      </c>
      <c r="P49" s="21">
        <v>0</v>
      </c>
      <c r="Q49" s="20">
        <f t="shared" si="7"/>
        <v>0</v>
      </c>
      <c r="R49" s="19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</row>
    <row r="50" spans="1:47" x14ac:dyDescent="0.25">
      <c r="A50" s="121"/>
      <c r="B50" s="122"/>
      <c r="C50" s="25" t="s">
        <v>221</v>
      </c>
      <c r="D50" s="25" t="s">
        <v>220</v>
      </c>
      <c r="E50" s="25" t="s">
        <v>330</v>
      </c>
      <c r="F50" s="25"/>
      <c r="G50" s="26" t="s">
        <v>342</v>
      </c>
      <c r="H50" s="135"/>
      <c r="I50" s="142" t="s">
        <v>4</v>
      </c>
      <c r="J50" s="143">
        <f>25*J45+25*J47</f>
        <v>3277.19</v>
      </c>
      <c r="K50" s="148"/>
      <c r="L50" s="159">
        <v>0.2</v>
      </c>
      <c r="M50" s="24">
        <f t="shared" si="6"/>
        <v>3932.6280000000002</v>
      </c>
      <c r="N50" s="149"/>
      <c r="O50" s="22" t="e">
        <f>N50/$N$127</f>
        <v>#DIV/0!</v>
      </c>
      <c r="P50" s="21">
        <v>0</v>
      </c>
      <c r="Q50" s="20">
        <f t="shared" si="7"/>
        <v>0</v>
      </c>
      <c r="R50" s="19"/>
    </row>
    <row r="51" spans="1:47" ht="17.25" x14ac:dyDescent="0.3">
      <c r="A51" s="121"/>
      <c r="B51" s="1"/>
      <c r="C51" s="1"/>
      <c r="D51" s="1"/>
      <c r="E51" s="1"/>
      <c r="F51" s="1"/>
      <c r="G51" s="44"/>
      <c r="H51" s="43"/>
      <c r="I51" s="42"/>
      <c r="J51" s="42"/>
      <c r="K51" s="42"/>
      <c r="L51" s="43"/>
      <c r="M51" s="1"/>
      <c r="N51" s="150"/>
      <c r="O51" s="1"/>
      <c r="P51" s="18"/>
      <c r="Q51" s="15">
        <f>SUM(Q45:Q50)</f>
        <v>3.0958771990740734</v>
      </c>
      <c r="R51" s="1"/>
    </row>
    <row r="52" spans="1:47" x14ac:dyDescent="0.25">
      <c r="A52" s="121"/>
      <c r="B52" s="1"/>
      <c r="C52" s="1"/>
      <c r="D52" s="1"/>
      <c r="E52" s="1"/>
      <c r="F52" s="1"/>
      <c r="G52" s="44"/>
      <c r="H52" s="43"/>
      <c r="I52" s="42"/>
      <c r="J52" s="42"/>
      <c r="K52" s="42"/>
      <c r="L52" s="43"/>
      <c r="M52" s="1"/>
      <c r="N52" s="42"/>
      <c r="O52" s="1"/>
      <c r="P52" s="43"/>
      <c r="Q52" s="42"/>
      <c r="R52" s="42"/>
    </row>
    <row r="53" spans="1:47" x14ac:dyDescent="0.25">
      <c r="A53" s="121"/>
      <c r="B53" s="119" t="s">
        <v>55</v>
      </c>
      <c r="C53" s="103" t="s">
        <v>221</v>
      </c>
      <c r="D53" s="103" t="s">
        <v>55</v>
      </c>
      <c r="E53" s="103" t="s">
        <v>256</v>
      </c>
      <c r="F53" s="103"/>
      <c r="G53" s="102" t="s">
        <v>257</v>
      </c>
      <c r="H53" s="135"/>
      <c r="I53" s="142" t="s">
        <v>44</v>
      </c>
      <c r="J53" s="143" t="e">
        <f>(([1]Données!$E$20*3.265)-#REF!)*IF(ISERROR((VLOOKUP(G53,[1]Données!$D$24:$E$26,2,0))="#N/D"),0,(VLOOKUP(G53,[1]Données!$D$24:$E$26,2,0)))</f>
        <v>#REF!</v>
      </c>
      <c r="K53" s="148"/>
      <c r="L53" s="159">
        <v>0.2</v>
      </c>
      <c r="M53" s="24" t="e">
        <f t="shared" ref="M53:M87" si="8">(J53*L53+J53)</f>
        <v>#REF!</v>
      </c>
      <c r="N53" s="151"/>
      <c r="O53" s="101" t="e">
        <f>N53/$N$127</f>
        <v>#DIV/0!</v>
      </c>
      <c r="P53" s="21">
        <v>1.38888888888889E-2</v>
      </c>
      <c r="Q53" s="20" t="e">
        <f t="shared" ref="Q53:Q87" si="9">P53*J53</f>
        <v>#REF!</v>
      </c>
      <c r="R53" s="19"/>
    </row>
    <row r="54" spans="1:47" x14ac:dyDescent="0.25">
      <c r="A54" s="121"/>
      <c r="B54" s="119"/>
      <c r="C54" s="103" t="s">
        <v>221</v>
      </c>
      <c r="D54" s="103" t="s">
        <v>55</v>
      </c>
      <c r="E54" s="103" t="s">
        <v>334</v>
      </c>
      <c r="F54" s="103"/>
      <c r="G54" s="102" t="s">
        <v>341</v>
      </c>
      <c r="H54" s="135"/>
      <c r="I54" s="142" t="s">
        <v>332</v>
      </c>
      <c r="J54" s="143">
        <f>[1]Données!$E$20*5*(IF(ISERROR((VLOOKUP(G53,[1]Données!$D$24:$E$26,2,0))="#N/D"),0,(VLOOKUP(G53,[1]Données!$D$24:$E$26,2,0))))*0.07*0.02</f>
        <v>0.258328</v>
      </c>
      <c r="K54" s="148"/>
      <c r="L54" s="159">
        <v>0.2</v>
      </c>
      <c r="M54" s="24">
        <f t="shared" si="8"/>
        <v>0.30999359999999998</v>
      </c>
      <c r="N54" s="151"/>
      <c r="O54" s="101" t="e">
        <f>N54/$N$127</f>
        <v>#DIV/0!</v>
      </c>
      <c r="P54" s="21">
        <v>1.6666666666666701</v>
      </c>
      <c r="Q54" s="20">
        <f t="shared" si="9"/>
        <v>0.43054666666666758</v>
      </c>
      <c r="R54" s="19"/>
    </row>
    <row r="55" spans="1:47" x14ac:dyDescent="0.25">
      <c r="A55" s="121"/>
      <c r="B55" s="119"/>
      <c r="C55" s="103" t="s">
        <v>221</v>
      </c>
      <c r="D55" s="103" t="s">
        <v>55</v>
      </c>
      <c r="E55" s="103" t="s">
        <v>322</v>
      </c>
      <c r="F55" s="103"/>
      <c r="G55" s="102" t="s">
        <v>340</v>
      </c>
      <c r="H55" s="135"/>
      <c r="I55" s="142" t="s">
        <v>4</v>
      </c>
      <c r="J55" s="143" t="e">
        <f>J53*10</f>
        <v>#REF!</v>
      </c>
      <c r="K55" s="148"/>
      <c r="L55" s="159">
        <v>0.2</v>
      </c>
      <c r="M55" s="24" t="e">
        <f t="shared" si="8"/>
        <v>#REF!</v>
      </c>
      <c r="N55" s="151"/>
      <c r="O55" s="101"/>
      <c r="P55" s="21">
        <v>0</v>
      </c>
      <c r="Q55" s="20" t="e">
        <f t="shared" si="9"/>
        <v>#REF!</v>
      </c>
      <c r="R55" s="19"/>
    </row>
    <row r="56" spans="1:47" x14ac:dyDescent="0.25">
      <c r="A56" s="121"/>
      <c r="B56" s="119"/>
      <c r="C56" s="103" t="s">
        <v>221</v>
      </c>
      <c r="D56" s="103" t="s">
        <v>55</v>
      </c>
      <c r="E56" s="103" t="s">
        <v>330</v>
      </c>
      <c r="F56" s="103"/>
      <c r="G56" s="102" t="s">
        <v>331</v>
      </c>
      <c r="H56" s="135"/>
      <c r="I56" s="142" t="s">
        <v>4</v>
      </c>
      <c r="J56" s="143">
        <f>(J54/(0.07*0.02)*2)</f>
        <v>369.03999999999996</v>
      </c>
      <c r="K56" s="148"/>
      <c r="L56" s="159">
        <v>0.2</v>
      </c>
      <c r="M56" s="24">
        <f t="shared" si="8"/>
        <v>442.84799999999996</v>
      </c>
      <c r="N56" s="151"/>
      <c r="O56" s="101"/>
      <c r="P56" s="21">
        <v>0</v>
      </c>
      <c r="Q56" s="20">
        <f t="shared" si="9"/>
        <v>0</v>
      </c>
      <c r="R56" s="19"/>
    </row>
    <row r="57" spans="1:47" x14ac:dyDescent="0.25">
      <c r="A57" s="121"/>
      <c r="B57" s="119"/>
      <c r="C57" s="103" t="s">
        <v>221</v>
      </c>
      <c r="D57" s="103" t="s">
        <v>55</v>
      </c>
      <c r="E57" s="103" t="s">
        <v>227</v>
      </c>
      <c r="F57" s="103"/>
      <c r="G57" s="102" t="s">
        <v>335</v>
      </c>
      <c r="H57" s="135"/>
      <c r="I57" s="142" t="s">
        <v>44</v>
      </c>
      <c r="J57" s="143" t="e">
        <f>J53</f>
        <v>#REF!</v>
      </c>
      <c r="K57" s="148"/>
      <c r="L57" s="159">
        <v>0.3</v>
      </c>
      <c r="M57" s="24" t="e">
        <f t="shared" si="8"/>
        <v>#REF!</v>
      </c>
      <c r="N57" s="151"/>
      <c r="O57" s="101"/>
      <c r="P57" s="21">
        <v>6.5972222222222196E-3</v>
      </c>
      <c r="Q57" s="20" t="e">
        <f t="shared" si="9"/>
        <v>#REF!</v>
      </c>
      <c r="R57" s="19"/>
    </row>
    <row r="58" spans="1:47" hidden="1" x14ac:dyDescent="0.25">
      <c r="A58" s="121"/>
      <c r="B58" s="119"/>
      <c r="C58" s="25" t="s">
        <v>221</v>
      </c>
      <c r="D58" s="25" t="s">
        <v>55</v>
      </c>
      <c r="E58" s="25" t="s">
        <v>256</v>
      </c>
      <c r="F58" s="25"/>
      <c r="G58" s="26" t="s">
        <v>255</v>
      </c>
      <c r="H58" s="135"/>
      <c r="I58" s="142" t="s">
        <v>44</v>
      </c>
      <c r="J58" s="143" t="e">
        <f>(([1]Données!$E$20*3.265)-#REF!)*IF(ISERROR((VLOOKUP(G58,[1]Données!$D$24:$E$26,2,0))="#N/D"),0,(VLOOKUP(G58,[1]Données!$D$24:$E$26,2,0)))</f>
        <v>#REF!</v>
      </c>
      <c r="K58" s="148"/>
      <c r="L58" s="159">
        <v>0.1</v>
      </c>
      <c r="M58" s="24" t="e">
        <f t="shared" si="8"/>
        <v>#REF!</v>
      </c>
      <c r="N58" s="149"/>
      <c r="O58" s="22" t="e">
        <f>N58/$N$127</f>
        <v>#DIV/0!</v>
      </c>
      <c r="P58" s="21">
        <v>4.1666666666666699E-2</v>
      </c>
      <c r="Q58" s="20" t="e">
        <f t="shared" si="9"/>
        <v>#REF!</v>
      </c>
      <c r="R58" s="19"/>
    </row>
    <row r="59" spans="1:47" hidden="1" x14ac:dyDescent="0.25">
      <c r="A59" s="121"/>
      <c r="B59" s="119"/>
      <c r="C59" s="25" t="s">
        <v>221</v>
      </c>
      <c r="D59" s="25" t="s">
        <v>55</v>
      </c>
      <c r="E59" s="25" t="s">
        <v>334</v>
      </c>
      <c r="F59" s="25"/>
      <c r="G59" s="26" t="s">
        <v>339</v>
      </c>
      <c r="H59" s="135"/>
      <c r="I59" s="142" t="s">
        <v>332</v>
      </c>
      <c r="J59" s="143">
        <f>[1]Données!$E$20/0.5*3.5*(IF(ISERROR((VLOOKUP(G58,[1]Données!$D$24:$E$26,2,0))="#N/D"),0,(VLOOKUP(G58,[1]Données!$D$24:$E$26,2,0))))*0.06*0.04</f>
        <v>0</v>
      </c>
      <c r="K59" s="148"/>
      <c r="L59" s="159">
        <v>0.2</v>
      </c>
      <c r="M59" s="24">
        <f t="shared" si="8"/>
        <v>0</v>
      </c>
      <c r="N59" s="149"/>
      <c r="O59" s="22" t="e">
        <f>N59/$N$127</f>
        <v>#DIV/0!</v>
      </c>
      <c r="P59" s="21">
        <v>1.6666666666666701</v>
      </c>
      <c r="Q59" s="20">
        <f t="shared" si="9"/>
        <v>0</v>
      </c>
      <c r="R59" s="19"/>
    </row>
    <row r="60" spans="1:47" hidden="1" x14ac:dyDescent="0.25">
      <c r="A60" s="121"/>
      <c r="B60" s="119"/>
      <c r="C60" s="25" t="s">
        <v>221</v>
      </c>
      <c r="D60" s="25" t="s">
        <v>55</v>
      </c>
      <c r="E60" s="25" t="s">
        <v>330</v>
      </c>
      <c r="F60" s="25"/>
      <c r="G60" s="26" t="s">
        <v>331</v>
      </c>
      <c r="H60" s="135"/>
      <c r="I60" s="142" t="s">
        <v>4</v>
      </c>
      <c r="J60" s="143">
        <f>+(J59/(0.06*0.04)/3.5*5)</f>
        <v>0</v>
      </c>
      <c r="K60" s="148"/>
      <c r="L60" s="159">
        <v>0.2</v>
      </c>
      <c r="M60" s="24">
        <f t="shared" si="8"/>
        <v>0</v>
      </c>
      <c r="N60" s="149"/>
      <c r="O60" s="22"/>
      <c r="P60" s="21">
        <v>0</v>
      </c>
      <c r="Q60" s="20">
        <f t="shared" si="9"/>
        <v>0</v>
      </c>
      <c r="R60" s="19"/>
    </row>
    <row r="61" spans="1:47" hidden="1" x14ac:dyDescent="0.25">
      <c r="A61" s="121"/>
      <c r="B61" s="119"/>
      <c r="C61" s="25" t="s">
        <v>221</v>
      </c>
      <c r="D61" s="25" t="s">
        <v>55</v>
      </c>
      <c r="E61" s="25" t="s">
        <v>227</v>
      </c>
      <c r="F61" s="25"/>
      <c r="G61" s="26" t="s">
        <v>335</v>
      </c>
      <c r="H61" s="135"/>
      <c r="I61" s="142" t="s">
        <v>44</v>
      </c>
      <c r="J61" s="143" t="e">
        <f>J58</f>
        <v>#REF!</v>
      </c>
      <c r="K61" s="148"/>
      <c r="L61" s="159">
        <v>0.2</v>
      </c>
      <c r="M61" s="24" t="e">
        <f t="shared" si="8"/>
        <v>#REF!</v>
      </c>
      <c r="N61" s="149"/>
      <c r="O61" s="22"/>
      <c r="P61" s="21">
        <v>6.5972222222222196E-3</v>
      </c>
      <c r="Q61" s="20" t="e">
        <f t="shared" si="9"/>
        <v>#REF!</v>
      </c>
      <c r="R61" s="19"/>
    </row>
    <row r="62" spans="1:47" x14ac:dyDescent="0.25">
      <c r="A62" s="121"/>
      <c r="B62" s="119"/>
      <c r="C62" s="105" t="s">
        <v>221</v>
      </c>
      <c r="D62" s="105" t="s">
        <v>55</v>
      </c>
      <c r="E62" s="105" t="s">
        <v>254</v>
      </c>
      <c r="F62" s="105"/>
      <c r="G62" s="104" t="s">
        <v>253</v>
      </c>
      <c r="H62" s="135"/>
      <c r="I62" s="142" t="s">
        <v>44</v>
      </c>
      <c r="J62" s="143" t="e">
        <f>(([1]Données!$E$20*3.265)-#REF!)*IF(ISERROR((VLOOKUP(G62,[1]Données!$D$24:$E$26,2,0))="#N/D"),0,(VLOOKUP(G62,[1]Données!$D$24:$E$26,2,0)))</f>
        <v>#REF!</v>
      </c>
      <c r="K62" s="148"/>
      <c r="L62" s="159">
        <v>0.25</v>
      </c>
      <c r="M62" s="24" t="e">
        <f t="shared" si="8"/>
        <v>#REF!</v>
      </c>
      <c r="N62" s="151"/>
      <c r="O62" s="101" t="e">
        <f>N62/$N$127</f>
        <v>#DIV/0!</v>
      </c>
      <c r="P62" s="21">
        <v>4.3749999999999997E-2</v>
      </c>
      <c r="Q62" s="20" t="e">
        <f t="shared" si="9"/>
        <v>#REF!</v>
      </c>
      <c r="R62" s="19"/>
    </row>
    <row r="63" spans="1:47" ht="30" x14ac:dyDescent="0.25">
      <c r="A63" s="121"/>
      <c r="B63" s="119"/>
      <c r="C63" s="105" t="s">
        <v>221</v>
      </c>
      <c r="D63" s="105" t="s">
        <v>55</v>
      </c>
      <c r="E63" s="105" t="s">
        <v>334</v>
      </c>
      <c r="F63" s="105"/>
      <c r="G63" s="104" t="s">
        <v>338</v>
      </c>
      <c r="H63" s="135"/>
      <c r="I63" s="142" t="s">
        <v>332</v>
      </c>
      <c r="J63" s="143">
        <f>[1]Données!$E$20/0.5*3.5*(IF(ISERROR((VLOOKUP(G62,[1]Données!$D$24:$E$26,2,0))="#N/D"),0,(VLOOKUP(G62,[1]Données!$D$24:$E$26,2,0))))*0.06*0.04</f>
        <v>0.15499680000000002</v>
      </c>
      <c r="K63" s="148"/>
      <c r="L63" s="159">
        <v>0.2</v>
      </c>
      <c r="M63" s="24">
        <f t="shared" si="8"/>
        <v>0.18599616000000002</v>
      </c>
      <c r="N63" s="151"/>
      <c r="O63" s="101" t="e">
        <f>N63/$N$127</f>
        <v>#DIV/0!</v>
      </c>
      <c r="P63" s="21">
        <v>1.6666666666666701</v>
      </c>
      <c r="Q63" s="20">
        <f t="shared" si="9"/>
        <v>0.25832800000000056</v>
      </c>
      <c r="R63" s="19"/>
    </row>
    <row r="64" spans="1:47" x14ac:dyDescent="0.25">
      <c r="A64" s="121"/>
      <c r="B64" s="119"/>
      <c r="C64" s="105" t="s">
        <v>221</v>
      </c>
      <c r="D64" s="105" t="s">
        <v>55</v>
      </c>
      <c r="E64" s="105" t="s">
        <v>330</v>
      </c>
      <c r="F64" s="105"/>
      <c r="G64" s="104" t="s">
        <v>331</v>
      </c>
      <c r="H64" s="135"/>
      <c r="I64" s="142" t="s">
        <v>4</v>
      </c>
      <c r="J64" s="143">
        <f>+(J63/(0.06*0.04)/3.5*5)</f>
        <v>92.26</v>
      </c>
      <c r="K64" s="148"/>
      <c r="L64" s="159">
        <v>0.2</v>
      </c>
      <c r="M64" s="24">
        <f t="shared" si="8"/>
        <v>110.712</v>
      </c>
      <c r="N64" s="151"/>
      <c r="O64" s="101"/>
      <c r="P64" s="21">
        <v>0</v>
      </c>
      <c r="Q64" s="20">
        <f t="shared" si="9"/>
        <v>0</v>
      </c>
      <c r="R64" s="19"/>
    </row>
    <row r="65" spans="1:18" x14ac:dyDescent="0.25">
      <c r="A65" s="121"/>
      <c r="B65" s="119"/>
      <c r="C65" s="105" t="s">
        <v>221</v>
      </c>
      <c r="D65" s="105" t="s">
        <v>55</v>
      </c>
      <c r="E65" s="105" t="s">
        <v>330</v>
      </c>
      <c r="F65" s="105"/>
      <c r="G65" s="104" t="s">
        <v>329</v>
      </c>
      <c r="H65" s="135"/>
      <c r="I65" s="142" t="s">
        <v>4</v>
      </c>
      <c r="J65" s="143" t="e">
        <f>J62*39</f>
        <v>#REF!</v>
      </c>
      <c r="K65" s="148"/>
      <c r="L65" s="159">
        <v>0.2</v>
      </c>
      <c r="M65" s="24" t="e">
        <f t="shared" si="8"/>
        <v>#REF!</v>
      </c>
      <c r="N65" s="151"/>
      <c r="O65" s="101"/>
      <c r="P65" s="21">
        <v>0</v>
      </c>
      <c r="Q65" s="20" t="e">
        <f t="shared" si="9"/>
        <v>#REF!</v>
      </c>
      <c r="R65" s="19"/>
    </row>
    <row r="66" spans="1:18" x14ac:dyDescent="0.25">
      <c r="A66" s="121"/>
      <c r="B66" s="119"/>
      <c r="C66" s="105" t="s">
        <v>221</v>
      </c>
      <c r="D66" s="105" t="s">
        <v>55</v>
      </c>
      <c r="E66" s="105" t="s">
        <v>227</v>
      </c>
      <c r="F66" s="105"/>
      <c r="G66" s="104" t="s">
        <v>328</v>
      </c>
      <c r="H66" s="135"/>
      <c r="I66" s="142" t="s">
        <v>44</v>
      </c>
      <c r="J66" s="143" t="e">
        <f>J62</f>
        <v>#REF!</v>
      </c>
      <c r="K66" s="148"/>
      <c r="L66" s="159">
        <v>0.3</v>
      </c>
      <c r="M66" s="24" t="e">
        <f t="shared" si="8"/>
        <v>#REF!</v>
      </c>
      <c r="N66" s="151"/>
      <c r="O66" s="101"/>
      <c r="P66" s="21">
        <v>6.5972222222222196E-3</v>
      </c>
      <c r="Q66" s="20" t="e">
        <f t="shared" si="9"/>
        <v>#REF!</v>
      </c>
      <c r="R66" s="19"/>
    </row>
    <row r="67" spans="1:18" hidden="1" x14ac:dyDescent="0.25">
      <c r="A67" s="121"/>
      <c r="B67" s="119"/>
      <c r="C67" s="25" t="s">
        <v>221</v>
      </c>
      <c r="D67" s="25" t="s">
        <v>55</v>
      </c>
      <c r="E67" s="25" t="s">
        <v>252</v>
      </c>
      <c r="F67" s="25"/>
      <c r="G67" s="26" t="s">
        <v>251</v>
      </c>
      <c r="H67" s="139"/>
      <c r="I67" s="142" t="s">
        <v>44</v>
      </c>
      <c r="J67" s="143" t="e">
        <f>(([1]Données!$E$20*3.265)-#REF!)*IF(ISERROR((VLOOKUP(G67,[1]Données!$D$24:$E$26,2,0))="#N/D"),0,(VLOOKUP(G67,[1]Données!$D$24:$E$26,2,0)))</f>
        <v>#REF!</v>
      </c>
      <c r="K67" s="148"/>
      <c r="L67" s="159">
        <v>0.1</v>
      </c>
      <c r="M67" s="24" t="e">
        <f t="shared" si="8"/>
        <v>#REF!</v>
      </c>
      <c r="N67" s="149"/>
      <c r="O67" s="22" t="e">
        <f>N67/$N$127</f>
        <v>#DIV/0!</v>
      </c>
      <c r="P67" s="21">
        <v>4.1666666666666699E-2</v>
      </c>
      <c r="Q67" s="20" t="e">
        <f t="shared" si="9"/>
        <v>#REF!</v>
      </c>
      <c r="R67" s="19"/>
    </row>
    <row r="68" spans="1:18" ht="30" hidden="1" x14ac:dyDescent="0.25">
      <c r="A68" s="121"/>
      <c r="B68" s="119"/>
      <c r="C68" s="25" t="s">
        <v>221</v>
      </c>
      <c r="D68" s="25" t="s">
        <v>55</v>
      </c>
      <c r="E68" s="25" t="s">
        <v>334</v>
      </c>
      <c r="F68" s="25"/>
      <c r="G68" s="26" t="s">
        <v>337</v>
      </c>
      <c r="H68" s="135"/>
      <c r="I68" s="142" t="s">
        <v>332</v>
      </c>
      <c r="J68" s="143">
        <f>[1]Données!$E$20/0.5*3.5*(IF(ISERROR((VLOOKUP(G67,[1]Données!$D$24:$E$26,2,0))="#N/D"),0,(VLOOKUP(G67,[1]Données!$D$24:$E$26,2,0))))*0.06*0.04</f>
        <v>0</v>
      </c>
      <c r="K68" s="148"/>
      <c r="L68" s="159">
        <v>0.2</v>
      </c>
      <c r="M68" s="24">
        <f t="shared" si="8"/>
        <v>0</v>
      </c>
      <c r="N68" s="149"/>
      <c r="O68" s="22" t="e">
        <f>N68/$N$127</f>
        <v>#DIV/0!</v>
      </c>
      <c r="P68" s="21">
        <v>1.6666666666666701</v>
      </c>
      <c r="Q68" s="20">
        <f t="shared" si="9"/>
        <v>0</v>
      </c>
      <c r="R68" s="19"/>
    </row>
    <row r="69" spans="1:18" hidden="1" x14ac:dyDescent="0.25">
      <c r="A69" s="121"/>
      <c r="B69" s="119"/>
      <c r="C69" s="25" t="s">
        <v>221</v>
      </c>
      <c r="D69" s="25" t="s">
        <v>55</v>
      </c>
      <c r="E69" s="25" t="s">
        <v>330</v>
      </c>
      <c r="F69" s="25"/>
      <c r="G69" s="26" t="s">
        <v>331</v>
      </c>
      <c r="H69" s="135"/>
      <c r="I69" s="142" t="s">
        <v>4</v>
      </c>
      <c r="J69" s="143">
        <f>+(J68/(0.06*0.04)/3.5*5)</f>
        <v>0</v>
      </c>
      <c r="K69" s="148"/>
      <c r="L69" s="159">
        <v>0.2</v>
      </c>
      <c r="M69" s="24">
        <f t="shared" si="8"/>
        <v>0</v>
      </c>
      <c r="N69" s="149"/>
      <c r="O69" s="22"/>
      <c r="P69" s="21">
        <v>0</v>
      </c>
      <c r="Q69" s="20">
        <f t="shared" si="9"/>
        <v>0</v>
      </c>
      <c r="R69" s="19"/>
    </row>
    <row r="70" spans="1:18" hidden="1" x14ac:dyDescent="0.25">
      <c r="A70" s="121"/>
      <c r="B70" s="119"/>
      <c r="C70" s="25" t="s">
        <v>221</v>
      </c>
      <c r="D70" s="25" t="s">
        <v>55</v>
      </c>
      <c r="E70" s="25" t="s">
        <v>227</v>
      </c>
      <c r="F70" s="25"/>
      <c r="G70" s="26" t="s">
        <v>328</v>
      </c>
      <c r="H70" s="135"/>
      <c r="I70" s="142" t="s">
        <v>44</v>
      </c>
      <c r="J70" s="143" t="e">
        <f>J67</f>
        <v>#REF!</v>
      </c>
      <c r="K70" s="148"/>
      <c r="L70" s="159">
        <v>0.3</v>
      </c>
      <c r="M70" s="24" t="e">
        <f t="shared" si="8"/>
        <v>#REF!</v>
      </c>
      <c r="N70" s="149"/>
      <c r="O70" s="22"/>
      <c r="P70" s="21">
        <v>6.5972222222222196E-3</v>
      </c>
      <c r="Q70" s="20" t="e">
        <f t="shared" si="9"/>
        <v>#REF!</v>
      </c>
      <c r="R70" s="19"/>
    </row>
    <row r="71" spans="1:18" hidden="1" x14ac:dyDescent="0.25">
      <c r="A71" s="121"/>
      <c r="B71" s="119"/>
      <c r="C71" s="103" t="s">
        <v>221</v>
      </c>
      <c r="D71" s="103" t="s">
        <v>55</v>
      </c>
      <c r="E71" s="103" t="s">
        <v>248</v>
      </c>
      <c r="F71" s="103"/>
      <c r="G71" s="102" t="s">
        <v>250</v>
      </c>
      <c r="H71" s="135"/>
      <c r="I71" s="142" t="s">
        <v>44</v>
      </c>
      <c r="J71" s="143" t="e">
        <f>(([1]Données!$E$20*3.265)-#REF!)*IF(ISERROR((VLOOKUP(G71,[1]Données!$D$24:$E$26,2,0))="#N/D"),0,(VLOOKUP(G71,[1]Données!$D$24:$E$26,2,0)))</f>
        <v>#REF!</v>
      </c>
      <c r="K71" s="148"/>
      <c r="L71" s="159">
        <v>0.2</v>
      </c>
      <c r="M71" s="24" t="e">
        <f t="shared" si="8"/>
        <v>#REF!</v>
      </c>
      <c r="N71" s="151"/>
      <c r="O71" s="101" t="e">
        <f>N71/$N$127</f>
        <v>#DIV/0!</v>
      </c>
      <c r="P71" s="21">
        <v>4.1666666666666699E-2</v>
      </c>
      <c r="Q71" s="20" t="e">
        <f t="shared" si="9"/>
        <v>#REF!</v>
      </c>
      <c r="R71" s="19"/>
    </row>
    <row r="72" spans="1:18" hidden="1" x14ac:dyDescent="0.25">
      <c r="A72" s="121"/>
      <c r="B72" s="119"/>
      <c r="C72" s="103" t="s">
        <v>221</v>
      </c>
      <c r="D72" s="103" t="s">
        <v>55</v>
      </c>
      <c r="E72" s="103" t="s">
        <v>334</v>
      </c>
      <c r="F72" s="103"/>
      <c r="G72" s="102" t="s">
        <v>336</v>
      </c>
      <c r="H72" s="135"/>
      <c r="I72" s="142" t="s">
        <v>332</v>
      </c>
      <c r="J72" s="143">
        <f>[1]Données!$E$20/0.5*3.5*(IF(ISERROR((VLOOKUP(G71,[1]Données!$D$24:$E$26,2,0))="#N/D"),0,(VLOOKUP(G71,[1]Données!$D$24:$E$26,2,0))))*0.06*0.04</f>
        <v>0</v>
      </c>
      <c r="K72" s="148"/>
      <c r="L72" s="159">
        <v>0.2</v>
      </c>
      <c r="M72" s="24">
        <f t="shared" si="8"/>
        <v>0</v>
      </c>
      <c r="N72" s="151"/>
      <c r="O72" s="101" t="e">
        <f>N72/$N$127</f>
        <v>#DIV/0!</v>
      </c>
      <c r="P72" s="21">
        <v>1.6666666666666701</v>
      </c>
      <c r="Q72" s="20">
        <f t="shared" si="9"/>
        <v>0</v>
      </c>
      <c r="R72" s="19"/>
    </row>
    <row r="73" spans="1:18" hidden="1" x14ac:dyDescent="0.25">
      <c r="A73" s="121"/>
      <c r="B73" s="119"/>
      <c r="C73" s="103" t="s">
        <v>221</v>
      </c>
      <c r="D73" s="103" t="s">
        <v>55</v>
      </c>
      <c r="E73" s="103" t="s">
        <v>330</v>
      </c>
      <c r="F73" s="103"/>
      <c r="G73" s="102" t="s">
        <v>331</v>
      </c>
      <c r="H73" s="135"/>
      <c r="I73" s="142" t="s">
        <v>4</v>
      </c>
      <c r="J73" s="143">
        <f>+(J72/(0.06*0.04)/3.5*5)</f>
        <v>0</v>
      </c>
      <c r="K73" s="148"/>
      <c r="L73" s="159">
        <v>0.2</v>
      </c>
      <c r="M73" s="24">
        <f t="shared" si="8"/>
        <v>0</v>
      </c>
      <c r="N73" s="151"/>
      <c r="O73" s="101"/>
      <c r="P73" s="21">
        <v>0</v>
      </c>
      <c r="Q73" s="20">
        <f t="shared" si="9"/>
        <v>0</v>
      </c>
      <c r="R73" s="19"/>
    </row>
    <row r="74" spans="1:18" hidden="1" x14ac:dyDescent="0.25">
      <c r="A74" s="121"/>
      <c r="B74" s="119"/>
      <c r="C74" s="103" t="s">
        <v>221</v>
      </c>
      <c r="D74" s="103" t="s">
        <v>55</v>
      </c>
      <c r="E74" s="103" t="s">
        <v>330</v>
      </c>
      <c r="F74" s="103"/>
      <c r="G74" s="102" t="s">
        <v>329</v>
      </c>
      <c r="H74" s="135"/>
      <c r="I74" s="142" t="s">
        <v>4</v>
      </c>
      <c r="J74" s="143" t="e">
        <f>J71*35</f>
        <v>#REF!</v>
      </c>
      <c r="K74" s="148"/>
      <c r="L74" s="159">
        <v>0.2</v>
      </c>
      <c r="M74" s="24" t="e">
        <f t="shared" si="8"/>
        <v>#REF!</v>
      </c>
      <c r="N74" s="151"/>
      <c r="O74" s="101"/>
      <c r="P74" s="21">
        <v>0</v>
      </c>
      <c r="Q74" s="20" t="e">
        <f t="shared" si="9"/>
        <v>#REF!</v>
      </c>
      <c r="R74" s="19"/>
    </row>
    <row r="75" spans="1:18" hidden="1" x14ac:dyDescent="0.25">
      <c r="A75" s="121"/>
      <c r="B75" s="119"/>
      <c r="C75" s="103" t="s">
        <v>221</v>
      </c>
      <c r="D75" s="103" t="s">
        <v>55</v>
      </c>
      <c r="E75" s="103" t="s">
        <v>227</v>
      </c>
      <c r="F75" s="103"/>
      <c r="G75" s="102" t="s">
        <v>335</v>
      </c>
      <c r="H75" s="135"/>
      <c r="I75" s="142" t="s">
        <v>44</v>
      </c>
      <c r="J75" s="143" t="e">
        <f>J71</f>
        <v>#REF!</v>
      </c>
      <c r="K75" s="148"/>
      <c r="L75" s="159">
        <v>0.3</v>
      </c>
      <c r="M75" s="24" t="e">
        <f t="shared" si="8"/>
        <v>#REF!</v>
      </c>
      <c r="N75" s="151"/>
      <c r="O75" s="101"/>
      <c r="P75" s="21">
        <v>6.5972222222222196E-3</v>
      </c>
      <c r="Q75" s="20" t="e">
        <f t="shared" si="9"/>
        <v>#REF!</v>
      </c>
      <c r="R75" s="19"/>
    </row>
    <row r="76" spans="1:18" hidden="1" x14ac:dyDescent="0.25">
      <c r="A76" s="121"/>
      <c r="B76" s="119"/>
      <c r="C76" s="25" t="s">
        <v>221</v>
      </c>
      <c r="D76" s="25" t="s">
        <v>55</v>
      </c>
      <c r="E76" s="25" t="s">
        <v>254</v>
      </c>
      <c r="F76" s="25"/>
      <c r="G76" s="26" t="s">
        <v>247</v>
      </c>
      <c r="H76" s="135"/>
      <c r="I76" s="142" t="s">
        <v>44</v>
      </c>
      <c r="J76" s="143" t="e">
        <f>(([1]Données!$E$20*3.265)-#REF!)*IF(ISERROR((VLOOKUP(G76,[1]Données!$D$24:$E$26,2,0))="#N/D"),0,(VLOOKUP(G76,[1]Données!$D$24:$E$26,2,0)))</f>
        <v>#REF!</v>
      </c>
      <c r="K76" s="148"/>
      <c r="L76" s="159">
        <v>0.25</v>
      </c>
      <c r="M76" s="24" t="e">
        <f t="shared" si="8"/>
        <v>#REF!</v>
      </c>
      <c r="N76" s="149"/>
      <c r="O76" s="22" t="e">
        <f>N76/$N$127</f>
        <v>#DIV/0!</v>
      </c>
      <c r="P76" s="21">
        <v>4.3749999999999997E-2</v>
      </c>
      <c r="Q76" s="20" t="e">
        <f t="shared" si="9"/>
        <v>#REF!</v>
      </c>
      <c r="R76" s="19"/>
    </row>
    <row r="77" spans="1:18" ht="30" hidden="1" x14ac:dyDescent="0.25">
      <c r="A77" s="121"/>
      <c r="B77" s="119"/>
      <c r="C77" s="25" t="s">
        <v>221</v>
      </c>
      <c r="D77" s="25" t="s">
        <v>55</v>
      </c>
      <c r="E77" s="25" t="s">
        <v>334</v>
      </c>
      <c r="F77" s="25"/>
      <c r="G77" s="26" t="s">
        <v>333</v>
      </c>
      <c r="H77" s="135"/>
      <c r="I77" s="142" t="s">
        <v>332</v>
      </c>
      <c r="J77" s="143">
        <f>[1]Données!$E$20*8*(IF(ISERROR((VLOOKUP(G76,[1]Données!$D$24:$E$26,2,0))="#N/D"),0,(VLOOKUP(G76,[1]Données!$D$24:$E$26,2,0))))*0.06*0.04</f>
        <v>0</v>
      </c>
      <c r="K77" s="148"/>
      <c r="L77" s="159">
        <v>0.2</v>
      </c>
      <c r="M77" s="24">
        <f t="shared" si="8"/>
        <v>0</v>
      </c>
      <c r="N77" s="149"/>
      <c r="O77" s="22" t="e">
        <f>N77/$N$127</f>
        <v>#DIV/0!</v>
      </c>
      <c r="P77" s="21">
        <v>1.6666666666666701</v>
      </c>
      <c r="Q77" s="20">
        <f t="shared" si="9"/>
        <v>0</v>
      </c>
      <c r="R77" s="19"/>
    </row>
    <row r="78" spans="1:18" hidden="1" x14ac:dyDescent="0.25">
      <c r="A78" s="121"/>
      <c r="B78" s="119"/>
      <c r="C78" s="25" t="s">
        <v>221</v>
      </c>
      <c r="D78" s="25" t="s">
        <v>55</v>
      </c>
      <c r="E78" s="25" t="s">
        <v>330</v>
      </c>
      <c r="F78" s="25"/>
      <c r="G78" s="26" t="s">
        <v>331</v>
      </c>
      <c r="H78" s="135"/>
      <c r="I78" s="142" t="s">
        <v>4</v>
      </c>
      <c r="J78" s="143">
        <f>+(J77/(0.06*0.04)/3.5*5)</f>
        <v>0</v>
      </c>
      <c r="K78" s="148"/>
      <c r="L78" s="159">
        <v>0.2</v>
      </c>
      <c r="M78" s="24">
        <f t="shared" si="8"/>
        <v>0</v>
      </c>
      <c r="N78" s="149"/>
      <c r="O78" s="22"/>
      <c r="P78" s="21">
        <v>0</v>
      </c>
      <c r="Q78" s="20">
        <f t="shared" si="9"/>
        <v>0</v>
      </c>
      <c r="R78" s="19"/>
    </row>
    <row r="79" spans="1:18" hidden="1" x14ac:dyDescent="0.25">
      <c r="A79" s="121"/>
      <c r="B79" s="119"/>
      <c r="C79" s="25" t="s">
        <v>221</v>
      </c>
      <c r="D79" s="25" t="s">
        <v>55</v>
      </c>
      <c r="E79" s="25" t="s">
        <v>330</v>
      </c>
      <c r="F79" s="25"/>
      <c r="G79" s="26" t="s">
        <v>329</v>
      </c>
      <c r="H79" s="135"/>
      <c r="I79" s="142" t="s">
        <v>4</v>
      </c>
      <c r="J79" s="143" t="e">
        <f>J76*39</f>
        <v>#REF!</v>
      </c>
      <c r="K79" s="148"/>
      <c r="L79" s="159">
        <v>0.2</v>
      </c>
      <c r="M79" s="24" t="e">
        <f t="shared" si="8"/>
        <v>#REF!</v>
      </c>
      <c r="N79" s="149"/>
      <c r="O79" s="22"/>
      <c r="P79" s="21">
        <v>0</v>
      </c>
      <c r="Q79" s="20" t="e">
        <f t="shared" si="9"/>
        <v>#REF!</v>
      </c>
      <c r="R79" s="19"/>
    </row>
    <row r="80" spans="1:18" hidden="1" x14ac:dyDescent="0.25">
      <c r="A80" s="121"/>
      <c r="B80" s="119"/>
      <c r="C80" s="25" t="s">
        <v>221</v>
      </c>
      <c r="D80" s="25" t="s">
        <v>55</v>
      </c>
      <c r="E80" s="25" t="s">
        <v>227</v>
      </c>
      <c r="F80" s="25"/>
      <c r="G80" s="26" t="s">
        <v>328</v>
      </c>
      <c r="H80" s="135"/>
      <c r="I80" s="142" t="s">
        <v>44</v>
      </c>
      <c r="J80" s="143" t="e">
        <f>J76</f>
        <v>#REF!</v>
      </c>
      <c r="K80" s="148"/>
      <c r="L80" s="159">
        <v>0.3</v>
      </c>
      <c r="M80" s="24" t="e">
        <f t="shared" si="8"/>
        <v>#REF!</v>
      </c>
      <c r="N80" s="149"/>
      <c r="O80" s="22"/>
      <c r="P80" s="21">
        <v>6.5972222222222196E-3</v>
      </c>
      <c r="Q80" s="20" t="e">
        <f t="shared" si="9"/>
        <v>#REF!</v>
      </c>
      <c r="R80" s="19"/>
    </row>
    <row r="81" spans="1:18" hidden="1" x14ac:dyDescent="0.25">
      <c r="A81" s="121"/>
      <c r="B81" s="119"/>
      <c r="C81" s="103" t="s">
        <v>221</v>
      </c>
      <c r="D81" s="103" t="s">
        <v>55</v>
      </c>
      <c r="E81" s="103" t="s">
        <v>327</v>
      </c>
      <c r="F81" s="103"/>
      <c r="G81" s="102" t="s">
        <v>84</v>
      </c>
      <c r="H81" s="135"/>
      <c r="I81" s="142" t="s">
        <v>44</v>
      </c>
      <c r="J81" s="143" t="e">
        <f>(([1]Données!$E$20*3.265)-#REF!)*IF(ISERROR((VLOOKUP(G81,[1]Données!$D$24:$E$26,2,0))="#N/D"),0,(VLOOKUP(G81,[1]Données!$D$24:$E$26,2,0)))</f>
        <v>#REF!</v>
      </c>
      <c r="K81" s="148"/>
      <c r="L81" s="159">
        <v>0</v>
      </c>
      <c r="M81" s="24" t="e">
        <f t="shared" si="8"/>
        <v>#REF!</v>
      </c>
      <c r="N81" s="152"/>
      <c r="O81" s="101" t="e">
        <f t="shared" ref="O81:O88" si="10">N81/$N$127</f>
        <v>#DIV/0!</v>
      </c>
      <c r="P81" s="21">
        <v>0</v>
      </c>
      <c r="Q81" s="20" t="e">
        <f t="shared" si="9"/>
        <v>#REF!</v>
      </c>
      <c r="R81" s="19"/>
    </row>
    <row r="82" spans="1:18" x14ac:dyDescent="0.25">
      <c r="A82" s="121"/>
      <c r="B82" s="119"/>
      <c r="C82" s="25" t="s">
        <v>221</v>
      </c>
      <c r="D82" s="25" t="s">
        <v>55</v>
      </c>
      <c r="E82" s="25" t="s">
        <v>236</v>
      </c>
      <c r="F82" s="25"/>
      <c r="G82" s="26" t="s">
        <v>326</v>
      </c>
      <c r="H82" s="135"/>
      <c r="I82" s="142" t="s">
        <v>4</v>
      </c>
      <c r="J82" s="143">
        <f>ROUNDUP(([1]Données!E20)/4,0)</f>
        <v>12</v>
      </c>
      <c r="K82" s="148"/>
      <c r="L82" s="159">
        <v>0.1</v>
      </c>
      <c r="M82" s="24">
        <f t="shared" si="8"/>
        <v>13.2</v>
      </c>
      <c r="N82" s="149"/>
      <c r="O82" s="22" t="e">
        <f t="shared" si="10"/>
        <v>#DIV/0!</v>
      </c>
      <c r="P82" s="21">
        <v>1.38888888888889E-2</v>
      </c>
      <c r="Q82" s="20">
        <f t="shared" si="9"/>
        <v>0.1666666666666668</v>
      </c>
      <c r="R82" s="19"/>
    </row>
    <row r="83" spans="1:18" x14ac:dyDescent="0.25">
      <c r="A83" s="121"/>
      <c r="B83" s="119"/>
      <c r="C83" s="25" t="s">
        <v>221</v>
      </c>
      <c r="D83" s="25" t="s">
        <v>55</v>
      </c>
      <c r="E83" s="25" t="s">
        <v>236</v>
      </c>
      <c r="F83" s="25"/>
      <c r="G83" s="26" t="s">
        <v>325</v>
      </c>
      <c r="H83" s="135"/>
      <c r="I83" s="142" t="s">
        <v>4</v>
      </c>
      <c r="J83" s="143">
        <f>[1]Données!E35</f>
        <v>1</v>
      </c>
      <c r="K83" s="148"/>
      <c r="L83" s="159">
        <v>0.1</v>
      </c>
      <c r="M83" s="24">
        <f t="shared" si="8"/>
        <v>1.1000000000000001</v>
      </c>
      <c r="N83" s="149"/>
      <c r="O83" s="22" t="e">
        <f t="shared" si="10"/>
        <v>#DIV/0!</v>
      </c>
      <c r="P83" s="21">
        <v>1.38888888888889E-2</v>
      </c>
      <c r="Q83" s="20">
        <f t="shared" si="9"/>
        <v>1.38888888888889E-2</v>
      </c>
      <c r="R83" s="19"/>
    </row>
    <row r="84" spans="1:18" x14ac:dyDescent="0.25">
      <c r="A84" s="121"/>
      <c r="B84" s="119"/>
      <c r="C84" s="25" t="s">
        <v>221</v>
      </c>
      <c r="D84" s="25" t="s">
        <v>55</v>
      </c>
      <c r="E84" s="25" t="s">
        <v>236</v>
      </c>
      <c r="F84" s="25"/>
      <c r="G84" s="26" t="s">
        <v>324</v>
      </c>
      <c r="H84" s="135"/>
      <c r="I84" s="142" t="s">
        <v>4</v>
      </c>
      <c r="J84" s="143">
        <f>[1]Données!E36</f>
        <v>5</v>
      </c>
      <c r="K84" s="148"/>
      <c r="L84" s="159">
        <v>0.1</v>
      </c>
      <c r="M84" s="24">
        <f t="shared" si="8"/>
        <v>5.5</v>
      </c>
      <c r="N84" s="149"/>
      <c r="O84" s="22" t="e">
        <f t="shared" si="10"/>
        <v>#DIV/0!</v>
      </c>
      <c r="P84" s="21">
        <v>1.38888888888889E-2</v>
      </c>
      <c r="Q84" s="20">
        <f t="shared" si="9"/>
        <v>6.9444444444444503E-2</v>
      </c>
      <c r="R84" s="19"/>
    </row>
    <row r="85" spans="1:18" x14ac:dyDescent="0.25">
      <c r="A85" s="121"/>
      <c r="B85" s="119"/>
      <c r="C85" s="25" t="s">
        <v>221</v>
      </c>
      <c r="D85" s="25" t="s">
        <v>55</v>
      </c>
      <c r="E85" s="25" t="s">
        <v>236</v>
      </c>
      <c r="F85" s="25"/>
      <c r="G85" s="26" t="s">
        <v>323</v>
      </c>
      <c r="H85" s="135"/>
      <c r="I85" s="142" t="s">
        <v>4</v>
      </c>
      <c r="J85" s="143">
        <f>[1]Données!E37</f>
        <v>6</v>
      </c>
      <c r="K85" s="148"/>
      <c r="L85" s="159">
        <v>0.1</v>
      </c>
      <c r="M85" s="24">
        <f t="shared" si="8"/>
        <v>6.6</v>
      </c>
      <c r="N85" s="149"/>
      <c r="O85" s="22" t="e">
        <f t="shared" si="10"/>
        <v>#DIV/0!</v>
      </c>
      <c r="P85" s="21">
        <v>1.38888888888889E-2</v>
      </c>
      <c r="Q85" s="20">
        <f t="shared" si="9"/>
        <v>8.3333333333333398E-2</v>
      </c>
      <c r="R85" s="19"/>
    </row>
    <row r="86" spans="1:18" ht="30" x14ac:dyDescent="0.25">
      <c r="A86" s="121"/>
      <c r="B86" s="119"/>
      <c r="C86" s="25" t="s">
        <v>221</v>
      </c>
      <c r="D86" s="25" t="s">
        <v>55</v>
      </c>
      <c r="E86" s="25" t="s">
        <v>236</v>
      </c>
      <c r="F86" s="25"/>
      <c r="G86" s="26" t="s">
        <v>235</v>
      </c>
      <c r="H86" s="135"/>
      <c r="I86" s="142" t="s">
        <v>4</v>
      </c>
      <c r="J86" s="143">
        <f>IF([1]Données!E31&gt;0,1,0)</f>
        <v>0</v>
      </c>
      <c r="K86" s="148"/>
      <c r="L86" s="159">
        <v>0</v>
      </c>
      <c r="M86" s="24">
        <f t="shared" si="8"/>
        <v>0</v>
      </c>
      <c r="N86" s="149"/>
      <c r="O86" s="22" t="e">
        <f t="shared" si="10"/>
        <v>#DIV/0!</v>
      </c>
      <c r="P86" s="21">
        <v>4.5833333333333304</v>
      </c>
      <c r="Q86" s="20">
        <f t="shared" si="9"/>
        <v>0</v>
      </c>
      <c r="R86" s="19"/>
    </row>
    <row r="87" spans="1:18" x14ac:dyDescent="0.25">
      <c r="A87" s="121"/>
      <c r="B87" s="119"/>
      <c r="C87" s="25" t="s">
        <v>221</v>
      </c>
      <c r="D87" s="25" t="s">
        <v>55</v>
      </c>
      <c r="E87" s="25" t="s">
        <v>322</v>
      </c>
      <c r="F87" s="25"/>
      <c r="G87" s="26" t="s">
        <v>321</v>
      </c>
      <c r="H87" s="135"/>
      <c r="I87" s="142" t="s">
        <v>4</v>
      </c>
      <c r="J87" s="143" t="e">
        <f>J58/3.3</f>
        <v>#REF!</v>
      </c>
      <c r="K87" s="148"/>
      <c r="L87" s="159">
        <v>0.1</v>
      </c>
      <c r="M87" s="24" t="e">
        <f t="shared" si="8"/>
        <v>#REF!</v>
      </c>
      <c r="N87" s="149"/>
      <c r="O87" s="22" t="e">
        <f t="shared" si="10"/>
        <v>#DIV/0!</v>
      </c>
      <c r="P87" s="21">
        <v>4.1666666666666699E-2</v>
      </c>
      <c r="Q87" s="20" t="e">
        <f t="shared" si="9"/>
        <v>#REF!</v>
      </c>
      <c r="R87" s="19"/>
    </row>
    <row r="88" spans="1:18" ht="17.25" x14ac:dyDescent="0.3">
      <c r="A88" s="121"/>
      <c r="B88" s="1"/>
      <c r="F88" s="1"/>
      <c r="G88" s="1"/>
      <c r="H88" s="137"/>
      <c r="J88" s="4"/>
      <c r="L88" s="39"/>
      <c r="M88" s="6"/>
      <c r="N88" s="150"/>
      <c r="O88" s="92" t="e">
        <f t="shared" si="10"/>
        <v>#DIV/0!</v>
      </c>
      <c r="P88" s="39"/>
      <c r="Q88" s="15" t="e">
        <f>SUM(Q53:Q87)</f>
        <v>#REF!</v>
      </c>
    </row>
    <row r="89" spans="1:18" x14ac:dyDescent="0.25">
      <c r="A89" s="121"/>
      <c r="B89" s="1"/>
      <c r="C89" s="1"/>
      <c r="D89" s="1"/>
      <c r="E89" s="1"/>
      <c r="F89" s="1"/>
      <c r="G89" s="1"/>
      <c r="H89" s="43"/>
      <c r="I89" s="42"/>
      <c r="J89" s="42"/>
      <c r="K89" s="42"/>
      <c r="L89" s="43"/>
      <c r="M89" s="1"/>
      <c r="N89" s="42"/>
      <c r="O89" s="1"/>
      <c r="P89" s="18"/>
      <c r="Q89" s="1"/>
      <c r="R89" s="1"/>
    </row>
    <row r="90" spans="1:18" ht="13.9" customHeight="1" x14ac:dyDescent="0.25">
      <c r="A90" s="121"/>
      <c r="B90" s="122" t="s">
        <v>320</v>
      </c>
      <c r="C90" s="25" t="s">
        <v>221</v>
      </c>
      <c r="D90" s="25" t="s">
        <v>319</v>
      </c>
      <c r="E90" s="27" t="s">
        <v>311</v>
      </c>
      <c r="F90" s="25"/>
      <c r="G90" s="31" t="s">
        <v>318</v>
      </c>
      <c r="H90" s="135"/>
      <c r="I90" s="142" t="s">
        <v>4</v>
      </c>
      <c r="J90" s="143">
        <f>[1]Données!E41</f>
        <v>3</v>
      </c>
      <c r="K90" s="148"/>
      <c r="L90" s="159">
        <v>0</v>
      </c>
      <c r="M90" s="24">
        <f t="shared" ref="M90:M117" si="11">(J90*L90+J90)</f>
        <v>3</v>
      </c>
      <c r="N90" s="149"/>
      <c r="O90" s="22" t="e">
        <f>N90/$N$127</f>
        <v>#DIV/0!</v>
      </c>
      <c r="P90" s="21">
        <v>8.3333333333333301E-2</v>
      </c>
      <c r="Q90" s="20">
        <f t="shared" ref="Q90:Q102" si="12">P90*J90</f>
        <v>0.24999999999999989</v>
      </c>
      <c r="R90" s="19"/>
    </row>
    <row r="91" spans="1:18" x14ac:dyDescent="0.25">
      <c r="A91" s="121"/>
      <c r="B91" s="122"/>
      <c r="C91" s="25" t="s">
        <v>221</v>
      </c>
      <c r="D91" s="25" t="s">
        <v>178</v>
      </c>
      <c r="E91" s="27" t="s">
        <v>310</v>
      </c>
      <c r="F91" s="25"/>
      <c r="G91" s="31" t="s">
        <v>317</v>
      </c>
      <c r="H91" s="135"/>
      <c r="I91" s="142" t="s">
        <v>4</v>
      </c>
      <c r="J91" s="143">
        <f>[1]Données!E44</f>
        <v>3</v>
      </c>
      <c r="K91" s="148"/>
      <c r="L91" s="159">
        <v>0</v>
      </c>
      <c r="M91" s="24">
        <f t="shared" si="11"/>
        <v>3</v>
      </c>
      <c r="N91" s="149"/>
      <c r="O91" s="22" t="e">
        <f>N91/$N$127</f>
        <v>#DIV/0!</v>
      </c>
      <c r="P91" s="21">
        <v>8.3333333333333301E-2</v>
      </c>
      <c r="Q91" s="20">
        <f t="shared" si="12"/>
        <v>0.24999999999999989</v>
      </c>
      <c r="R91" s="19"/>
    </row>
    <row r="92" spans="1:18" x14ac:dyDescent="0.25">
      <c r="A92" s="121"/>
      <c r="B92" s="122"/>
      <c r="C92" s="25" t="s">
        <v>221</v>
      </c>
      <c r="D92" s="25" t="s">
        <v>178</v>
      </c>
      <c r="E92" s="27" t="s">
        <v>310</v>
      </c>
      <c r="F92" s="25"/>
      <c r="G92" s="31" t="s">
        <v>316</v>
      </c>
      <c r="H92" s="135"/>
      <c r="I92" s="142" t="s">
        <v>4</v>
      </c>
      <c r="J92" s="143">
        <f>[1]Données!E45</f>
        <v>1</v>
      </c>
      <c r="K92" s="148"/>
      <c r="L92" s="159">
        <v>0</v>
      </c>
      <c r="M92" s="24">
        <f t="shared" si="11"/>
        <v>1</v>
      </c>
      <c r="N92" s="149"/>
      <c r="O92" s="22" t="e">
        <f>N92/$N$127</f>
        <v>#DIV/0!</v>
      </c>
      <c r="P92" s="21">
        <v>8.3333333333333301E-2</v>
      </c>
      <c r="Q92" s="20">
        <f t="shared" si="12"/>
        <v>8.3333333333333301E-2</v>
      </c>
      <c r="R92" s="19"/>
    </row>
    <row r="93" spans="1:18" x14ac:dyDescent="0.25">
      <c r="A93" s="121"/>
      <c r="B93" s="122"/>
      <c r="C93" s="25" t="s">
        <v>221</v>
      </c>
      <c r="D93" s="25" t="s">
        <v>178</v>
      </c>
      <c r="E93" s="27" t="s">
        <v>310</v>
      </c>
      <c r="F93" s="25"/>
      <c r="G93" s="31" t="s">
        <v>315</v>
      </c>
      <c r="H93" s="140"/>
      <c r="I93" s="142" t="s">
        <v>4</v>
      </c>
      <c r="J93" s="143">
        <f>[1]Données!E46</f>
        <v>0</v>
      </c>
      <c r="K93" s="148"/>
      <c r="L93" s="159">
        <v>0</v>
      </c>
      <c r="M93" s="24">
        <f t="shared" si="11"/>
        <v>0</v>
      </c>
      <c r="N93" s="149"/>
      <c r="O93" s="22"/>
      <c r="P93" s="21">
        <v>8.3333333333333301E-2</v>
      </c>
      <c r="Q93" s="20">
        <f t="shared" si="12"/>
        <v>0</v>
      </c>
      <c r="R93" s="19"/>
    </row>
    <row r="94" spans="1:18" x14ac:dyDescent="0.25">
      <c r="A94" s="121"/>
      <c r="B94" s="122"/>
      <c r="C94" s="25" t="s">
        <v>221</v>
      </c>
      <c r="D94" s="25" t="s">
        <v>178</v>
      </c>
      <c r="E94" s="27" t="s">
        <v>242</v>
      </c>
      <c r="F94" s="25"/>
      <c r="G94" s="31" t="s">
        <v>246</v>
      </c>
      <c r="H94" s="135"/>
      <c r="I94" s="142" t="s">
        <v>4</v>
      </c>
      <c r="J94" s="143">
        <f>[1]Données!E56</f>
        <v>0</v>
      </c>
      <c r="K94" s="148"/>
      <c r="L94" s="159">
        <v>0</v>
      </c>
      <c r="M94" s="24">
        <f t="shared" si="11"/>
        <v>0</v>
      </c>
      <c r="N94" s="149"/>
      <c r="O94" s="22" t="e">
        <f t="shared" ref="O94:O102" si="13">N94/$N$127</f>
        <v>#DIV/0!</v>
      </c>
      <c r="P94" s="21">
        <v>0</v>
      </c>
      <c r="Q94" s="20">
        <f t="shared" si="12"/>
        <v>0</v>
      </c>
      <c r="R94" s="19"/>
    </row>
    <row r="95" spans="1:18" x14ac:dyDescent="0.25">
      <c r="A95" s="121"/>
      <c r="B95" s="122"/>
      <c r="C95" s="25" t="s">
        <v>221</v>
      </c>
      <c r="D95" s="25" t="s">
        <v>178</v>
      </c>
      <c r="E95" s="27" t="s">
        <v>242</v>
      </c>
      <c r="F95" s="25"/>
      <c r="G95" s="31" t="s">
        <v>245</v>
      </c>
      <c r="H95" s="135"/>
      <c r="I95" s="142" t="s">
        <v>4</v>
      </c>
      <c r="J95" s="143">
        <f>[1]Données!E48</f>
        <v>0</v>
      </c>
      <c r="K95" s="148"/>
      <c r="L95" s="159">
        <v>0</v>
      </c>
      <c r="M95" s="24">
        <f t="shared" si="11"/>
        <v>0</v>
      </c>
      <c r="N95" s="149"/>
      <c r="O95" s="22" t="e">
        <f t="shared" si="13"/>
        <v>#DIV/0!</v>
      </c>
      <c r="P95" s="21">
        <v>0</v>
      </c>
      <c r="Q95" s="20">
        <f t="shared" si="12"/>
        <v>0</v>
      </c>
      <c r="R95" s="19"/>
    </row>
    <row r="96" spans="1:18" x14ac:dyDescent="0.25">
      <c r="A96" s="121"/>
      <c r="B96" s="122"/>
      <c r="C96" s="25" t="s">
        <v>221</v>
      </c>
      <c r="D96" s="25" t="s">
        <v>178</v>
      </c>
      <c r="E96" s="27" t="s">
        <v>242</v>
      </c>
      <c r="F96" s="25"/>
      <c r="G96" s="31" t="s">
        <v>244</v>
      </c>
      <c r="H96" s="135"/>
      <c r="I96" s="142" t="s">
        <v>4</v>
      </c>
      <c r="J96" s="143">
        <f>[1]Données!E49</f>
        <v>0</v>
      </c>
      <c r="K96" s="148"/>
      <c r="L96" s="159">
        <v>0</v>
      </c>
      <c r="M96" s="24">
        <f t="shared" si="11"/>
        <v>0</v>
      </c>
      <c r="N96" s="149"/>
      <c r="O96" s="22" t="e">
        <f t="shared" si="13"/>
        <v>#DIV/0!</v>
      </c>
      <c r="P96" s="21">
        <v>0</v>
      </c>
      <c r="Q96" s="20">
        <f t="shared" si="12"/>
        <v>0</v>
      </c>
      <c r="R96" s="19"/>
    </row>
    <row r="97" spans="1:18" x14ac:dyDescent="0.25">
      <c r="A97" s="121"/>
      <c r="B97" s="122"/>
      <c r="C97" s="25" t="s">
        <v>221</v>
      </c>
      <c r="D97" s="25" t="s">
        <v>178</v>
      </c>
      <c r="E97" s="27" t="s">
        <v>242</v>
      </c>
      <c r="F97" s="25"/>
      <c r="G97" s="31" t="s">
        <v>243</v>
      </c>
      <c r="H97" s="135"/>
      <c r="I97" s="142" t="s">
        <v>4</v>
      </c>
      <c r="J97" s="143">
        <f>[1]Données!E50</f>
        <v>1</v>
      </c>
      <c r="K97" s="148"/>
      <c r="L97" s="159">
        <v>0</v>
      </c>
      <c r="M97" s="24">
        <f t="shared" si="11"/>
        <v>1</v>
      </c>
      <c r="N97" s="149"/>
      <c r="O97" s="22" t="e">
        <f t="shared" si="13"/>
        <v>#DIV/0!</v>
      </c>
      <c r="P97" s="21">
        <v>0</v>
      </c>
      <c r="Q97" s="20">
        <f t="shared" si="12"/>
        <v>0</v>
      </c>
      <c r="R97" s="19"/>
    </row>
    <row r="98" spans="1:18" x14ac:dyDescent="0.25">
      <c r="A98" s="121"/>
      <c r="B98" s="122"/>
      <c r="C98" s="25" t="s">
        <v>221</v>
      </c>
      <c r="D98" s="25" t="s">
        <v>178</v>
      </c>
      <c r="E98" s="27" t="s">
        <v>242</v>
      </c>
      <c r="F98" s="25"/>
      <c r="G98" s="31" t="s">
        <v>313</v>
      </c>
      <c r="H98" s="135"/>
      <c r="I98" s="142" t="s">
        <v>4</v>
      </c>
      <c r="J98" s="143">
        <f>[1]Données!E51</f>
        <v>0</v>
      </c>
      <c r="K98" s="148"/>
      <c r="L98" s="159">
        <v>0</v>
      </c>
      <c r="M98" s="24">
        <f t="shared" si="11"/>
        <v>0</v>
      </c>
      <c r="N98" s="149"/>
      <c r="O98" s="22" t="e">
        <f t="shared" si="13"/>
        <v>#DIV/0!</v>
      </c>
      <c r="P98" s="21">
        <v>0</v>
      </c>
      <c r="Q98" s="20">
        <f t="shared" si="12"/>
        <v>0</v>
      </c>
      <c r="R98" s="19"/>
    </row>
    <row r="99" spans="1:18" x14ac:dyDescent="0.25">
      <c r="A99" s="121"/>
      <c r="B99" s="122"/>
      <c r="C99" s="25" t="s">
        <v>221</v>
      </c>
      <c r="D99" s="25" t="s">
        <v>178</v>
      </c>
      <c r="E99" s="27" t="s">
        <v>314</v>
      </c>
      <c r="F99" s="25"/>
      <c r="G99" s="31" t="s">
        <v>313</v>
      </c>
      <c r="H99" s="135"/>
      <c r="I99" s="142" t="s">
        <v>4</v>
      </c>
      <c r="J99" s="143">
        <f>[1]Données!E51</f>
        <v>0</v>
      </c>
      <c r="K99" s="148"/>
      <c r="L99" s="159">
        <v>0</v>
      </c>
      <c r="M99" s="24">
        <f t="shared" si="11"/>
        <v>0</v>
      </c>
      <c r="N99" s="149"/>
      <c r="O99" s="22" t="e">
        <f t="shared" si="13"/>
        <v>#DIV/0!</v>
      </c>
      <c r="P99" s="21">
        <v>0</v>
      </c>
      <c r="Q99" s="20">
        <f t="shared" si="12"/>
        <v>0</v>
      </c>
      <c r="R99" s="19"/>
    </row>
    <row r="100" spans="1:18" x14ac:dyDescent="0.25">
      <c r="A100" s="121"/>
      <c r="B100" s="122"/>
      <c r="C100" s="25" t="s">
        <v>221</v>
      </c>
      <c r="D100" s="25" t="s">
        <v>178</v>
      </c>
      <c r="E100" s="27" t="s">
        <v>240</v>
      </c>
      <c r="F100" s="25"/>
      <c r="G100" s="31">
        <v>90</v>
      </c>
      <c r="H100" s="135"/>
      <c r="I100" s="142" t="s">
        <v>4</v>
      </c>
      <c r="J100" s="143">
        <f>[1]Données!E53</f>
        <v>1</v>
      </c>
      <c r="K100" s="148"/>
      <c r="L100" s="159">
        <v>0</v>
      </c>
      <c r="M100" s="24">
        <f t="shared" si="11"/>
        <v>1</v>
      </c>
      <c r="N100" s="149"/>
      <c r="O100" s="22" t="e">
        <f t="shared" si="13"/>
        <v>#DIV/0!</v>
      </c>
      <c r="P100" s="21">
        <v>0</v>
      </c>
      <c r="Q100" s="20">
        <f t="shared" si="12"/>
        <v>0</v>
      </c>
      <c r="R100" s="19"/>
    </row>
    <row r="101" spans="1:18" x14ac:dyDescent="0.25">
      <c r="A101" s="121"/>
      <c r="B101" s="122"/>
      <c r="C101" s="25" t="s">
        <v>221</v>
      </c>
      <c r="D101" s="25" t="s">
        <v>178</v>
      </c>
      <c r="E101" s="27" t="s">
        <v>240</v>
      </c>
      <c r="F101" s="25"/>
      <c r="G101" s="31">
        <v>140</v>
      </c>
      <c r="H101" s="135"/>
      <c r="I101" s="142" t="s">
        <v>4</v>
      </c>
      <c r="J101" s="143">
        <f>[1]Données!E54</f>
        <v>0</v>
      </c>
      <c r="K101" s="148"/>
      <c r="L101" s="159">
        <v>0</v>
      </c>
      <c r="M101" s="24">
        <f t="shared" si="11"/>
        <v>0</v>
      </c>
      <c r="N101" s="149"/>
      <c r="O101" s="22" t="e">
        <f t="shared" si="13"/>
        <v>#DIV/0!</v>
      </c>
      <c r="P101" s="21">
        <v>0</v>
      </c>
      <c r="Q101" s="20">
        <f t="shared" si="12"/>
        <v>0</v>
      </c>
      <c r="R101" s="19"/>
    </row>
    <row r="102" spans="1:18" x14ac:dyDescent="0.25">
      <c r="A102" s="121"/>
      <c r="B102" s="122"/>
      <c r="C102" s="25" t="s">
        <v>221</v>
      </c>
      <c r="D102" s="25" t="s">
        <v>178</v>
      </c>
      <c r="E102" s="27" t="s">
        <v>309</v>
      </c>
      <c r="F102" s="25"/>
      <c r="G102" s="31" t="s">
        <v>312</v>
      </c>
      <c r="H102" s="135"/>
      <c r="I102" s="142" t="s">
        <v>4</v>
      </c>
      <c r="J102" s="143">
        <f>[1]Données!E42</f>
        <v>1</v>
      </c>
      <c r="K102" s="148"/>
      <c r="L102" s="159">
        <v>0</v>
      </c>
      <c r="M102" s="24">
        <f t="shared" si="11"/>
        <v>1</v>
      </c>
      <c r="N102" s="149"/>
      <c r="O102" s="22" t="e">
        <f t="shared" si="13"/>
        <v>#DIV/0!</v>
      </c>
      <c r="P102" s="21">
        <v>8.3333333333333301E-2</v>
      </c>
      <c r="Q102" s="20">
        <f t="shared" si="12"/>
        <v>8.3333333333333301E-2</v>
      </c>
      <c r="R102" s="19"/>
    </row>
    <row r="103" spans="1:18" hidden="1" x14ac:dyDescent="0.25">
      <c r="A103" s="121"/>
      <c r="B103" s="122"/>
      <c r="C103" s="25" t="s">
        <v>221</v>
      </c>
      <c r="D103" s="25" t="s">
        <v>178</v>
      </c>
      <c r="E103" s="27" t="s">
        <v>311</v>
      </c>
      <c r="F103" s="25"/>
      <c r="G103" s="100" t="str">
        <f t="shared" ref="G103:G110" si="14">CONCATENATE("Surcout Alu ",G90)</f>
        <v>Surcout Alu 0,6*0,85</v>
      </c>
      <c r="H103" s="135"/>
      <c r="I103" s="142"/>
      <c r="J103" s="143" t="e">
        <f>IF([1]Données!$E$39=#REF!,J90,0)</f>
        <v>#REF!</v>
      </c>
      <c r="K103" s="148"/>
      <c r="L103" s="159">
        <v>0</v>
      </c>
      <c r="M103" s="24" t="e">
        <f t="shared" si="11"/>
        <v>#REF!</v>
      </c>
      <c r="N103" s="149"/>
      <c r="O103" s="22"/>
      <c r="P103" s="53"/>
      <c r="Q103" s="20"/>
      <c r="R103" s="19"/>
    </row>
    <row r="104" spans="1:18" hidden="1" x14ac:dyDescent="0.25">
      <c r="A104" s="121"/>
      <c r="B104" s="122"/>
      <c r="C104" s="25" t="s">
        <v>221</v>
      </c>
      <c r="D104" s="25" t="s">
        <v>178</v>
      </c>
      <c r="E104" s="27" t="s">
        <v>310</v>
      </c>
      <c r="F104" s="25"/>
      <c r="G104" s="100" t="str">
        <f t="shared" si="14"/>
        <v>Surcout Alu 1,2*1,250</v>
      </c>
      <c r="H104" s="135"/>
      <c r="I104" s="142"/>
      <c r="J104" s="143" t="e">
        <f>IF([1]Données!$E$39=#REF!,J91,0)</f>
        <v>#REF!</v>
      </c>
      <c r="K104" s="148"/>
      <c r="L104" s="159">
        <v>0</v>
      </c>
      <c r="M104" s="24" t="e">
        <f t="shared" si="11"/>
        <v>#REF!</v>
      </c>
      <c r="N104" s="149"/>
      <c r="O104" s="22"/>
      <c r="P104" s="21"/>
      <c r="Q104" s="20"/>
      <c r="R104" s="19"/>
    </row>
    <row r="105" spans="1:18" hidden="1" x14ac:dyDescent="0.25">
      <c r="A105" s="121"/>
      <c r="B105" s="122"/>
      <c r="C105" s="25" t="s">
        <v>221</v>
      </c>
      <c r="D105" s="25" t="s">
        <v>178</v>
      </c>
      <c r="E105" s="27" t="s">
        <v>310</v>
      </c>
      <c r="F105" s="25"/>
      <c r="G105" s="100" t="str">
        <f t="shared" si="14"/>
        <v>Surcout Alu 1,2*1,050</v>
      </c>
      <c r="H105" s="135"/>
      <c r="I105" s="142"/>
      <c r="J105" s="143" t="e">
        <f>IF([1]Données!$E$39=#REF!,J92,0)</f>
        <v>#REF!</v>
      </c>
      <c r="K105" s="148"/>
      <c r="L105" s="159">
        <v>0</v>
      </c>
      <c r="M105" s="24" t="e">
        <f t="shared" si="11"/>
        <v>#REF!</v>
      </c>
      <c r="N105" s="149"/>
      <c r="O105" s="22"/>
      <c r="P105" s="21"/>
      <c r="Q105" s="20"/>
      <c r="R105" s="19"/>
    </row>
    <row r="106" spans="1:18" hidden="1" x14ac:dyDescent="0.25">
      <c r="A106" s="121"/>
      <c r="B106" s="122"/>
      <c r="C106" s="25" t="s">
        <v>221</v>
      </c>
      <c r="D106" s="25" t="s">
        <v>178</v>
      </c>
      <c r="E106" s="27" t="s">
        <v>310</v>
      </c>
      <c r="F106" s="25"/>
      <c r="G106" s="100" t="str">
        <f t="shared" si="14"/>
        <v>Surcout Alu 1,6*1,050</v>
      </c>
      <c r="H106" s="135"/>
      <c r="I106" s="142"/>
      <c r="J106" s="143" t="e">
        <f>IF([1]Données!$E$39=#REF!,J93,0)</f>
        <v>#REF!</v>
      </c>
      <c r="K106" s="148"/>
      <c r="L106" s="159">
        <v>0</v>
      </c>
      <c r="M106" s="24" t="e">
        <f t="shared" si="11"/>
        <v>#REF!</v>
      </c>
      <c r="N106" s="149"/>
      <c r="O106" s="22"/>
      <c r="P106" s="21"/>
      <c r="Q106" s="20"/>
      <c r="R106" s="19"/>
    </row>
    <row r="107" spans="1:18" hidden="1" x14ac:dyDescent="0.25">
      <c r="A107" s="121"/>
      <c r="B107" s="122"/>
      <c r="C107" s="25" t="s">
        <v>221</v>
      </c>
      <c r="D107" s="25" t="s">
        <v>178</v>
      </c>
      <c r="E107" s="27" t="s">
        <v>242</v>
      </c>
      <c r="F107" s="25"/>
      <c r="G107" s="100" t="str">
        <f t="shared" si="14"/>
        <v>Surcout Alu 1,4*2,150</v>
      </c>
      <c r="H107" s="135"/>
      <c r="I107" s="142"/>
      <c r="J107" s="143" t="e">
        <f>IF([1]Données!$E$39=#REF!,J94,0)</f>
        <v>#REF!</v>
      </c>
      <c r="K107" s="148"/>
      <c r="L107" s="159">
        <v>0</v>
      </c>
      <c r="M107" s="24" t="e">
        <f t="shared" si="11"/>
        <v>#REF!</v>
      </c>
      <c r="N107" s="149"/>
      <c r="O107" s="22"/>
      <c r="P107" s="21"/>
      <c r="Q107" s="20"/>
      <c r="R107" s="19"/>
    </row>
    <row r="108" spans="1:18" hidden="1" x14ac:dyDescent="0.25">
      <c r="A108" s="121"/>
      <c r="B108" s="122"/>
      <c r="C108" s="25" t="s">
        <v>221</v>
      </c>
      <c r="D108" s="25" t="s">
        <v>178</v>
      </c>
      <c r="E108" s="27" t="s">
        <v>242</v>
      </c>
      <c r="F108" s="25"/>
      <c r="G108" s="100" t="str">
        <f t="shared" si="14"/>
        <v>Surcout Alu 1,8*2,150</v>
      </c>
      <c r="H108" s="135"/>
      <c r="I108" s="142"/>
      <c r="J108" s="143" t="e">
        <f>IF([1]Données!$E$39=#REF!,J95,0)</f>
        <v>#REF!</v>
      </c>
      <c r="K108" s="148"/>
      <c r="L108" s="159">
        <v>0</v>
      </c>
      <c r="M108" s="24" t="e">
        <f t="shared" si="11"/>
        <v>#REF!</v>
      </c>
      <c r="N108" s="149"/>
      <c r="O108" s="22"/>
      <c r="P108" s="21"/>
      <c r="Q108" s="20"/>
      <c r="R108" s="19"/>
    </row>
    <row r="109" spans="1:18" hidden="1" x14ac:dyDescent="0.25">
      <c r="A109" s="121"/>
      <c r="B109" s="122"/>
      <c r="C109" s="25" t="s">
        <v>221</v>
      </c>
      <c r="D109" s="25" t="s">
        <v>178</v>
      </c>
      <c r="E109" s="27" t="s">
        <v>242</v>
      </c>
      <c r="F109" s="25"/>
      <c r="G109" s="100" t="str">
        <f t="shared" si="14"/>
        <v>Surcout Alu 2,2*2,150</v>
      </c>
      <c r="H109" s="135"/>
      <c r="I109" s="142"/>
      <c r="J109" s="143" t="e">
        <f>IF([1]Données!$E$39=#REF!,J96,0)</f>
        <v>#REF!</v>
      </c>
      <c r="K109" s="148"/>
      <c r="L109" s="159">
        <v>0</v>
      </c>
      <c r="M109" s="24" t="e">
        <f t="shared" si="11"/>
        <v>#REF!</v>
      </c>
      <c r="N109" s="149"/>
      <c r="O109" s="22"/>
      <c r="P109" s="21"/>
      <c r="Q109" s="20"/>
      <c r="R109" s="19"/>
    </row>
    <row r="110" spans="1:18" hidden="1" x14ac:dyDescent="0.25">
      <c r="A110" s="121"/>
      <c r="B110" s="122"/>
      <c r="C110" s="25" t="s">
        <v>221</v>
      </c>
      <c r="D110" s="25" t="s">
        <v>178</v>
      </c>
      <c r="E110" s="27" t="s">
        <v>242</v>
      </c>
      <c r="F110" s="25"/>
      <c r="G110" s="100" t="str">
        <f t="shared" si="14"/>
        <v>Surcout Alu 2,4*2,150</v>
      </c>
      <c r="H110" s="135"/>
      <c r="I110" s="142"/>
      <c r="J110" s="143" t="e">
        <f>IF([1]Données!$E$39=#REF!,J97,0)</f>
        <v>#REF!</v>
      </c>
      <c r="K110" s="148"/>
      <c r="L110" s="159">
        <v>0</v>
      </c>
      <c r="M110" s="24" t="e">
        <f t="shared" si="11"/>
        <v>#REF!</v>
      </c>
      <c r="N110" s="149"/>
      <c r="O110" s="22"/>
      <c r="P110" s="21"/>
      <c r="Q110" s="20"/>
      <c r="R110" s="19"/>
    </row>
    <row r="111" spans="1:18" hidden="1" x14ac:dyDescent="0.25">
      <c r="A111" s="121"/>
      <c r="B111" s="122"/>
      <c r="C111" s="25" t="s">
        <v>221</v>
      </c>
      <c r="D111" s="25" t="s">
        <v>178</v>
      </c>
      <c r="E111" s="27" t="s">
        <v>309</v>
      </c>
      <c r="F111" s="25"/>
      <c r="G111" s="100" t="str">
        <f>CONCATENATE("Surcout Alu ",G102)</f>
        <v>Surcout Alu L600XH1950</v>
      </c>
      <c r="H111" s="135"/>
      <c r="I111" s="142"/>
      <c r="J111" s="143" t="e">
        <f>IF([1]Données!$E$39=#REF!,J102,0)</f>
        <v>#REF!</v>
      </c>
      <c r="K111" s="148"/>
      <c r="L111" s="159">
        <v>0</v>
      </c>
      <c r="M111" s="24" t="e">
        <f t="shared" si="11"/>
        <v>#REF!</v>
      </c>
      <c r="N111" s="149"/>
      <c r="O111" s="22"/>
      <c r="P111" s="21"/>
      <c r="Q111" s="20"/>
      <c r="R111" s="19"/>
    </row>
    <row r="112" spans="1:18" x14ac:dyDescent="0.25">
      <c r="A112" s="121"/>
      <c r="B112" s="122"/>
      <c r="C112" s="25" t="s">
        <v>221</v>
      </c>
      <c r="D112" s="25" t="s">
        <v>55</v>
      </c>
      <c r="E112" s="27" t="s">
        <v>240</v>
      </c>
      <c r="F112" s="25"/>
      <c r="G112" s="26" t="s">
        <v>308</v>
      </c>
      <c r="H112" s="135"/>
      <c r="I112" s="142" t="s">
        <v>96</v>
      </c>
      <c r="J112" s="143">
        <f>J90+J91+J92+J93+J94*1.5+J95*1.5+J96*1.5+J97*1.5+J98*3+J100*1.5+J101*1.5+J102</f>
        <v>11</v>
      </c>
      <c r="K112" s="148"/>
      <c r="L112" s="159">
        <v>0</v>
      </c>
      <c r="M112" s="24">
        <f t="shared" si="11"/>
        <v>11</v>
      </c>
      <c r="N112" s="149"/>
      <c r="O112" s="22" t="e">
        <f t="shared" ref="O112:O118" si="15">N112/$N$127</f>
        <v>#DIV/0!</v>
      </c>
      <c r="P112" s="21">
        <v>0.125</v>
      </c>
      <c r="Q112" s="20">
        <f>P112*J112</f>
        <v>1.375</v>
      </c>
      <c r="R112" s="19"/>
    </row>
    <row r="113" spans="1:18" x14ac:dyDescent="0.25">
      <c r="A113" s="121"/>
      <c r="B113" s="122"/>
      <c r="C113" s="25" t="s">
        <v>221</v>
      </c>
      <c r="D113" s="25" t="s">
        <v>178</v>
      </c>
      <c r="E113" s="27" t="s">
        <v>307</v>
      </c>
      <c r="F113" s="25"/>
      <c r="G113" s="31" t="s">
        <v>306</v>
      </c>
      <c r="H113" s="135"/>
      <c r="I113" s="142" t="s">
        <v>305</v>
      </c>
      <c r="J113" s="143">
        <f>(((0.6+0.85)*2*J90)+((1.2+1.25)*2*J91)+((1.2+1.05)*2*J92)+((1.6+1.05)*2*J93)+((1.4+2.15)*2*J94)+((1.8+2.15)*2*J95)+((2.2+2.15)*2*J96)+((2.4+2.15)*2*J97)+((3.8*2.15)*2*J98)+((0.9+2.15)*2*J100)+((1.4+2.15)*2*J101)+((0.6+1.95)*2*J102))/8</f>
        <v>6.0250000000000004</v>
      </c>
      <c r="K113" s="148"/>
      <c r="L113" s="159">
        <v>0.2</v>
      </c>
      <c r="M113" s="24">
        <f t="shared" si="11"/>
        <v>7.23</v>
      </c>
      <c r="N113" s="149"/>
      <c r="O113" s="22" t="e">
        <f t="shared" si="15"/>
        <v>#DIV/0!</v>
      </c>
      <c r="P113" s="99"/>
      <c r="Q113" s="97"/>
      <c r="R113" s="97"/>
    </row>
    <row r="114" spans="1:18" x14ac:dyDescent="0.25">
      <c r="A114" s="121"/>
      <c r="B114" s="122"/>
      <c r="C114" s="25" t="s">
        <v>221</v>
      </c>
      <c r="D114" s="25" t="s">
        <v>178</v>
      </c>
      <c r="E114" s="27" t="s">
        <v>303</v>
      </c>
      <c r="F114" s="25"/>
      <c r="G114" s="31" t="s">
        <v>304</v>
      </c>
      <c r="H114" s="135"/>
      <c r="I114" s="142" t="s">
        <v>209</v>
      </c>
      <c r="J114" s="143">
        <f>((J90+J91+J92)/2)+((J93+J94+J95+J96+J97+J98)*2)+(J100+J101+J102)</f>
        <v>7.5</v>
      </c>
      <c r="K114" s="148"/>
      <c r="L114" s="159">
        <v>0</v>
      </c>
      <c r="M114" s="24">
        <f t="shared" si="11"/>
        <v>7.5</v>
      </c>
      <c r="N114" s="149"/>
      <c r="O114" s="22" t="e">
        <f t="shared" si="15"/>
        <v>#DIV/0!</v>
      </c>
      <c r="P114" s="98"/>
      <c r="Q114" s="97"/>
      <c r="R114" s="97"/>
    </row>
    <row r="115" spans="1:18" x14ac:dyDescent="0.25">
      <c r="A115" s="121"/>
      <c r="B115" s="122"/>
      <c r="C115" s="25" t="s">
        <v>221</v>
      </c>
      <c r="D115" s="25" t="s">
        <v>178</v>
      </c>
      <c r="E115" s="27" t="s">
        <v>303</v>
      </c>
      <c r="F115" s="25"/>
      <c r="G115" s="31" t="s">
        <v>302</v>
      </c>
      <c r="H115" s="135"/>
      <c r="I115" s="142" t="s">
        <v>209</v>
      </c>
      <c r="J115" s="143">
        <f>(0.5*(SUM(J90:J102)))</f>
        <v>5</v>
      </c>
      <c r="K115" s="148"/>
      <c r="L115" s="159">
        <v>0</v>
      </c>
      <c r="M115" s="24">
        <f t="shared" si="11"/>
        <v>5</v>
      </c>
      <c r="N115" s="149"/>
      <c r="O115" s="22" t="e">
        <f t="shared" si="15"/>
        <v>#DIV/0!</v>
      </c>
      <c r="P115" s="98"/>
      <c r="Q115" s="97"/>
      <c r="R115" s="97"/>
    </row>
    <row r="116" spans="1:18" ht="26.25" x14ac:dyDescent="0.25">
      <c r="A116" s="121"/>
      <c r="B116" s="122"/>
      <c r="C116" s="25" t="s">
        <v>221</v>
      </c>
      <c r="D116" s="25" t="s">
        <v>178</v>
      </c>
      <c r="E116" s="27" t="s">
        <v>300</v>
      </c>
      <c r="F116" s="25"/>
      <c r="G116" s="31" t="s">
        <v>301</v>
      </c>
      <c r="H116" s="135"/>
      <c r="I116" s="142" t="s">
        <v>209</v>
      </c>
      <c r="J116" s="143">
        <f>J90*4+J91*6+J92*6+J93*8+J94*8+J95*8+J96*10+J97*10+J98*14+J100*8+J101*8+J102*8</f>
        <v>62</v>
      </c>
      <c r="K116" s="148"/>
      <c r="L116" s="159">
        <v>0</v>
      </c>
      <c r="M116" s="24">
        <f t="shared" si="11"/>
        <v>62</v>
      </c>
      <c r="N116" s="149"/>
      <c r="O116" s="22" t="e">
        <f t="shared" si="15"/>
        <v>#DIV/0!</v>
      </c>
      <c r="P116" s="98"/>
      <c r="Q116" s="97"/>
      <c r="R116" s="97"/>
    </row>
    <row r="117" spans="1:18" hidden="1" x14ac:dyDescent="0.25">
      <c r="A117" s="121"/>
      <c r="B117" s="122"/>
      <c r="C117" s="95" t="s">
        <v>221</v>
      </c>
      <c r="D117" s="95" t="s">
        <v>178</v>
      </c>
      <c r="E117" s="95" t="s">
        <v>300</v>
      </c>
      <c r="F117" s="95"/>
      <c r="G117" s="96" t="s">
        <v>299</v>
      </c>
      <c r="H117" s="53"/>
      <c r="I117" s="115" t="s">
        <v>209</v>
      </c>
      <c r="J117" s="145">
        <v>0</v>
      </c>
      <c r="K117" s="93"/>
      <c r="L117" s="160">
        <v>0</v>
      </c>
      <c r="M117" s="94">
        <f t="shared" si="11"/>
        <v>0</v>
      </c>
      <c r="N117" s="93"/>
      <c r="O117" s="22" t="e">
        <f t="shared" si="15"/>
        <v>#DIV/0!</v>
      </c>
      <c r="P117" s="53"/>
      <c r="Q117" s="93"/>
      <c r="R117" s="93"/>
    </row>
    <row r="118" spans="1:18" ht="17.25" x14ac:dyDescent="0.3">
      <c r="A118" s="121"/>
      <c r="H118" s="39"/>
      <c r="J118" s="4"/>
      <c r="L118" s="39"/>
      <c r="M118" s="6"/>
      <c r="N118" s="150"/>
      <c r="O118" s="92" t="e">
        <f t="shared" si="15"/>
        <v>#DIV/0!</v>
      </c>
      <c r="P118" s="43"/>
      <c r="Q118" s="15">
        <f>SUM(Q90:Q117)</f>
        <v>2.0416666666666661</v>
      </c>
      <c r="R118" s="42"/>
    </row>
    <row r="119" spans="1:18" x14ac:dyDescent="0.25">
      <c r="A119" s="121"/>
      <c r="B119" s="1"/>
      <c r="C119" s="1"/>
      <c r="D119" s="1"/>
      <c r="E119" s="1"/>
      <c r="F119" s="1"/>
      <c r="G119" s="44"/>
      <c r="H119" s="43"/>
      <c r="I119" s="42"/>
      <c r="J119" s="42"/>
      <c r="K119" s="42"/>
      <c r="L119" s="43"/>
      <c r="M119" s="1"/>
      <c r="N119" s="42"/>
      <c r="O119" s="1"/>
      <c r="P119" s="43"/>
      <c r="Q119" s="42"/>
      <c r="R119" s="42"/>
    </row>
    <row r="120" spans="1:18" ht="13.9" customHeight="1" x14ac:dyDescent="0.25">
      <c r="A120" s="121"/>
      <c r="B120" s="122" t="s">
        <v>298</v>
      </c>
      <c r="C120" s="25" t="s">
        <v>277</v>
      </c>
      <c r="D120" s="25" t="s">
        <v>267</v>
      </c>
      <c r="E120" s="25" t="s">
        <v>296</v>
      </c>
      <c r="F120" s="27"/>
      <c r="G120" s="26" t="s">
        <v>297</v>
      </c>
      <c r="H120" s="135"/>
      <c r="I120" s="142"/>
      <c r="J120" s="143">
        <f>J15</f>
        <v>3</v>
      </c>
      <c r="K120" s="148"/>
      <c r="L120" s="159">
        <v>0</v>
      </c>
      <c r="M120" s="24">
        <f>(J120*L120+J120)</f>
        <v>3</v>
      </c>
      <c r="N120" s="149"/>
      <c r="O120" s="22"/>
      <c r="P120" s="21">
        <v>0.28125</v>
      </c>
      <c r="Q120" s="20">
        <f>P120*J120</f>
        <v>0.84375</v>
      </c>
      <c r="R120" s="19"/>
    </row>
    <row r="121" spans="1:18" x14ac:dyDescent="0.25">
      <c r="A121" s="121"/>
      <c r="B121" s="122"/>
      <c r="C121" s="25" t="s">
        <v>277</v>
      </c>
      <c r="D121" s="25" t="s">
        <v>267</v>
      </c>
      <c r="E121" s="25" t="s">
        <v>296</v>
      </c>
      <c r="F121" s="27"/>
      <c r="G121" s="26" t="s">
        <v>265</v>
      </c>
      <c r="H121" s="135"/>
      <c r="I121" s="142"/>
      <c r="J121" s="143">
        <f>J17</f>
        <v>1</v>
      </c>
      <c r="K121" s="148"/>
      <c r="L121" s="159">
        <v>0</v>
      </c>
      <c r="M121" s="24">
        <f>(J121*L121+J121)</f>
        <v>1</v>
      </c>
      <c r="N121" s="149"/>
      <c r="O121" s="22"/>
      <c r="P121" s="21">
        <v>0.25</v>
      </c>
      <c r="Q121" s="20">
        <f>P121*J121</f>
        <v>0.25</v>
      </c>
      <c r="R121" s="19"/>
    </row>
    <row r="122" spans="1:18" ht="17.25" x14ac:dyDescent="0.3">
      <c r="A122" s="121"/>
      <c r="H122" s="141"/>
      <c r="K122" s="52"/>
      <c r="L122" s="16"/>
      <c r="M122" s="17"/>
      <c r="N122" s="150"/>
      <c r="O122" s="17"/>
      <c r="P122" s="16"/>
      <c r="Q122" s="15">
        <f>SUM(Q120:Q121)</f>
        <v>1.09375</v>
      </c>
      <c r="R122" s="52"/>
    </row>
    <row r="123" spans="1:18" x14ac:dyDescent="0.25">
      <c r="A123" s="121"/>
      <c r="B123" s="1"/>
      <c r="C123" s="1"/>
      <c r="D123" s="1"/>
      <c r="E123" s="1"/>
      <c r="F123" s="1"/>
      <c r="G123" s="44"/>
      <c r="H123" s="43"/>
      <c r="I123" s="42"/>
      <c r="J123" s="42"/>
      <c r="K123" s="42"/>
      <c r="L123" s="43"/>
      <c r="M123" s="1"/>
      <c r="N123" s="42"/>
      <c r="O123" s="1"/>
      <c r="P123" s="43"/>
      <c r="Q123" s="42"/>
      <c r="R123" s="42"/>
    </row>
    <row r="124" spans="1:18" ht="30" x14ac:dyDescent="0.25">
      <c r="A124" s="121"/>
      <c r="B124" s="91" t="s">
        <v>295</v>
      </c>
      <c r="C124" s="90" t="s">
        <v>277</v>
      </c>
      <c r="D124" s="90" t="s">
        <v>294</v>
      </c>
      <c r="E124" s="90" t="s">
        <v>294</v>
      </c>
      <c r="F124" s="89"/>
      <c r="G124" s="88" t="s">
        <v>293</v>
      </c>
      <c r="H124" s="135"/>
      <c r="I124" s="142" t="s">
        <v>4</v>
      </c>
      <c r="J124" s="143">
        <v>1</v>
      </c>
      <c r="K124" s="148"/>
      <c r="L124" s="159">
        <v>0</v>
      </c>
      <c r="M124" s="24">
        <f>(J124*L124+J124)</f>
        <v>1</v>
      </c>
      <c r="N124" s="149"/>
      <c r="O124" s="22"/>
      <c r="P124" s="21">
        <v>1.625</v>
      </c>
      <c r="Q124" s="20">
        <f>P124*J124</f>
        <v>1.625</v>
      </c>
      <c r="R124" s="19"/>
    </row>
    <row r="125" spans="1:18" ht="17.25" x14ac:dyDescent="0.3">
      <c r="B125" s="1"/>
      <c r="C125" s="1"/>
      <c r="D125" s="1"/>
      <c r="E125" s="1"/>
      <c r="F125" s="1"/>
      <c r="G125" s="44"/>
      <c r="H125" s="43"/>
      <c r="I125" s="42"/>
      <c r="J125" s="42"/>
      <c r="K125" s="42"/>
      <c r="L125" s="43"/>
      <c r="M125" s="1"/>
      <c r="N125" s="150"/>
      <c r="O125" s="17"/>
      <c r="P125" s="16"/>
      <c r="Q125" s="15">
        <f>SUM(Q124:Q124)</f>
        <v>1.625</v>
      </c>
      <c r="R125" s="52"/>
    </row>
    <row r="126" spans="1:18" ht="15.75" thickBot="1" x14ac:dyDescent="0.3">
      <c r="B126" s="1"/>
      <c r="C126" s="1"/>
      <c r="D126" s="1"/>
      <c r="E126" s="1"/>
      <c r="F126" s="1"/>
      <c r="G126" s="44"/>
      <c r="H126" s="43"/>
      <c r="I126" s="42"/>
      <c r="J126" s="42"/>
      <c r="K126" s="42"/>
      <c r="L126" s="43"/>
      <c r="M126" s="1"/>
      <c r="N126" s="42"/>
      <c r="O126" s="1"/>
      <c r="P126" s="43"/>
      <c r="Q126" s="42"/>
      <c r="R126" s="42"/>
    </row>
    <row r="127" spans="1:18" ht="21.75" thickBot="1" x14ac:dyDescent="0.3">
      <c r="B127" s="1"/>
      <c r="C127" s="1"/>
      <c r="D127" s="1"/>
      <c r="E127" s="1"/>
      <c r="F127" s="1"/>
      <c r="G127" s="44"/>
      <c r="H127" s="127" t="s">
        <v>217</v>
      </c>
      <c r="I127" s="127"/>
      <c r="J127" s="127"/>
      <c r="K127" s="127"/>
      <c r="L127" s="127"/>
      <c r="M127" s="127"/>
      <c r="N127" s="153">
        <f>N13+N20+N24+N38+N42+N51+N88+N118+N122+N125</f>
        <v>0</v>
      </c>
      <c r="O127" s="61" t="s">
        <v>216</v>
      </c>
      <c r="P127" s="87"/>
      <c r="Q127" s="61" t="e">
        <f>Q13+Q20+Q24+Q38+Q42+Q51+Q88+Q118+Q122+Q125</f>
        <v>#REF!</v>
      </c>
      <c r="R127" s="60"/>
    </row>
    <row r="128" spans="1:18" ht="18" hidden="1" x14ac:dyDescent="0.25">
      <c r="B128" s="1"/>
      <c r="C128" s="1"/>
      <c r="D128" s="1"/>
      <c r="E128" s="1"/>
      <c r="F128" s="1"/>
      <c r="G128" s="44"/>
      <c r="H128" s="154"/>
      <c r="I128" s="154"/>
      <c r="J128" s="154"/>
      <c r="K128" s="154"/>
      <c r="L128" s="154"/>
      <c r="M128" s="86"/>
      <c r="N128" s="154"/>
      <c r="O128" s="86"/>
      <c r="P128" s="86"/>
      <c r="Q128" s="86"/>
      <c r="R128" s="86"/>
    </row>
    <row r="129" spans="1:18" x14ac:dyDescent="0.25">
      <c r="B129" s="1"/>
      <c r="C129" s="1"/>
      <c r="D129" s="1"/>
      <c r="E129" s="1"/>
      <c r="F129" s="1"/>
      <c r="G129" s="9"/>
      <c r="H129" s="42"/>
      <c r="I129" s="42"/>
      <c r="J129" s="42"/>
      <c r="K129" s="42"/>
      <c r="L129" s="42"/>
      <c r="M129" s="1"/>
      <c r="N129" s="42"/>
      <c r="P129" s="1"/>
      <c r="Q129" s="1"/>
      <c r="R129" s="1"/>
    </row>
    <row r="130" spans="1:18" ht="13.9" customHeight="1" x14ac:dyDescent="0.25">
      <c r="A130" s="126" t="s">
        <v>292</v>
      </c>
      <c r="B130" s="123" t="s">
        <v>233</v>
      </c>
      <c r="C130" s="80" t="s">
        <v>233</v>
      </c>
      <c r="D130" s="80" t="s">
        <v>233</v>
      </c>
      <c r="E130" s="80" t="s">
        <v>291</v>
      </c>
      <c r="F130" s="80"/>
      <c r="G130" s="81" t="s">
        <v>290</v>
      </c>
      <c r="H130" s="135"/>
      <c r="I130" s="171"/>
      <c r="J130" s="143">
        <v>1</v>
      </c>
      <c r="K130" s="167">
        <f>H130*J130</f>
        <v>0</v>
      </c>
      <c r="L130" s="169">
        <v>0</v>
      </c>
      <c r="M130" s="79">
        <f>(J130*L130+J130)</f>
        <v>1</v>
      </c>
      <c r="N130" s="149">
        <f>K130+K130*L130</f>
        <v>0</v>
      </c>
      <c r="O130" s="68"/>
      <c r="P130" s="78">
        <v>1</v>
      </c>
      <c r="Q130" s="77">
        <f>P130*J130</f>
        <v>1</v>
      </c>
      <c r="R130" s="76"/>
    </row>
    <row r="131" spans="1:18" x14ac:dyDescent="0.25">
      <c r="A131" s="126"/>
      <c r="B131" s="123"/>
      <c r="C131" s="80" t="s">
        <v>233</v>
      </c>
      <c r="D131" s="80" t="s">
        <v>233</v>
      </c>
      <c r="E131" s="80" t="s">
        <v>289</v>
      </c>
      <c r="F131" s="80"/>
      <c r="G131" s="81" t="s">
        <v>288</v>
      </c>
      <c r="H131" s="135"/>
      <c r="I131" s="171"/>
      <c r="J131" s="143">
        <v>1</v>
      </c>
      <c r="K131" s="167">
        <f>H131*J131</f>
        <v>0</v>
      </c>
      <c r="L131" s="169">
        <v>0</v>
      </c>
      <c r="M131" s="79">
        <f>(J131*L131+J131)</f>
        <v>1</v>
      </c>
      <c r="N131" s="149">
        <f>K131+K131*L131</f>
        <v>0</v>
      </c>
      <c r="O131" s="68"/>
      <c r="P131" s="78">
        <v>0</v>
      </c>
      <c r="Q131" s="77">
        <f>P131*J131</f>
        <v>0</v>
      </c>
      <c r="R131" s="76"/>
    </row>
    <row r="132" spans="1:18" x14ac:dyDescent="0.25">
      <c r="A132" s="126"/>
      <c r="B132" s="123"/>
      <c r="C132" s="80" t="s">
        <v>287</v>
      </c>
      <c r="D132" s="80" t="s">
        <v>287</v>
      </c>
      <c r="E132" s="80" t="s">
        <v>286</v>
      </c>
      <c r="F132" s="80"/>
      <c r="G132" s="81" t="s">
        <v>285</v>
      </c>
      <c r="H132" s="135"/>
      <c r="I132" s="171"/>
      <c r="J132" s="143">
        <v>1</v>
      </c>
      <c r="K132" s="167">
        <f>H132*J132</f>
        <v>0</v>
      </c>
      <c r="L132" s="169">
        <v>0</v>
      </c>
      <c r="M132" s="79">
        <f>(J132*L132+J132)</f>
        <v>1</v>
      </c>
      <c r="N132" s="149">
        <f>K132+K132*L132</f>
        <v>0</v>
      </c>
      <c r="O132" s="68"/>
      <c r="P132" s="78">
        <v>8.3333333333333301E-2</v>
      </c>
      <c r="Q132" s="77">
        <f>P132*J132</f>
        <v>8.3333333333333301E-2</v>
      </c>
      <c r="R132" s="76"/>
    </row>
    <row r="133" spans="1:18" ht="17.25" x14ac:dyDescent="0.3">
      <c r="A133" s="126"/>
      <c r="B133" s="1"/>
      <c r="C133" s="1"/>
      <c r="D133" s="1"/>
      <c r="E133" s="1"/>
      <c r="F133" s="1"/>
      <c r="G133" s="44"/>
      <c r="H133" s="43"/>
      <c r="I133" s="42"/>
      <c r="J133" s="42"/>
      <c r="K133" s="42"/>
      <c r="L133" s="43"/>
      <c r="M133" s="1"/>
      <c r="N133" s="150">
        <f>SUM(N130:N132)</f>
        <v>0</v>
      </c>
      <c r="O133" s="17"/>
      <c r="P133" s="16"/>
      <c r="Q133" s="74">
        <f>SUM(Q130:Q132)</f>
        <v>1.0833333333333333</v>
      </c>
      <c r="R133" s="52"/>
    </row>
    <row r="134" spans="1:18" x14ac:dyDescent="0.25">
      <c r="A134" s="126"/>
      <c r="B134" s="1"/>
      <c r="C134" s="1"/>
      <c r="D134" s="1"/>
      <c r="E134" s="1"/>
      <c r="F134" s="1"/>
      <c r="G134" s="9"/>
      <c r="H134" s="42"/>
      <c r="I134" s="42"/>
      <c r="J134" s="42"/>
      <c r="K134" s="42"/>
      <c r="L134" s="42"/>
      <c r="M134" s="1"/>
      <c r="N134" s="42"/>
      <c r="P134" s="1"/>
      <c r="Q134" s="1"/>
      <c r="R134" s="1"/>
    </row>
    <row r="135" spans="1:18" ht="13.9" customHeight="1" x14ac:dyDescent="0.25">
      <c r="A135" s="126"/>
      <c r="B135" s="123" t="s">
        <v>284</v>
      </c>
      <c r="C135" s="80" t="s">
        <v>221</v>
      </c>
      <c r="D135" s="80" t="s">
        <v>220</v>
      </c>
      <c r="E135" s="80" t="s">
        <v>224</v>
      </c>
      <c r="F135" s="80"/>
      <c r="G135" s="81" t="s">
        <v>283</v>
      </c>
      <c r="H135" s="135"/>
      <c r="I135" s="171" t="s">
        <v>4</v>
      </c>
      <c r="J135" s="143">
        <f>J181</f>
        <v>2</v>
      </c>
      <c r="K135" s="167">
        <f>H135*J135</f>
        <v>0</v>
      </c>
      <c r="L135" s="169">
        <v>0</v>
      </c>
      <c r="M135" s="79">
        <f>(J135*L135+J135)</f>
        <v>2</v>
      </c>
      <c r="N135" s="149">
        <f>K135+K135*L135</f>
        <v>0</v>
      </c>
      <c r="O135" s="22" t="e">
        <f>N135/$N$127</f>
        <v>#DIV/0!</v>
      </c>
      <c r="P135" s="78">
        <v>0</v>
      </c>
      <c r="Q135" s="77">
        <f>P135*J135</f>
        <v>0</v>
      </c>
      <c r="R135" s="76"/>
    </row>
    <row r="136" spans="1:18" x14ac:dyDescent="0.25">
      <c r="A136" s="126"/>
      <c r="B136" s="123"/>
      <c r="C136" s="80" t="s">
        <v>221</v>
      </c>
      <c r="D136" s="80" t="s">
        <v>220</v>
      </c>
      <c r="E136" s="80" t="s">
        <v>224</v>
      </c>
      <c r="F136" s="80"/>
      <c r="G136" s="81" t="s">
        <v>282</v>
      </c>
      <c r="H136" s="135"/>
      <c r="I136" s="171" t="s">
        <v>38</v>
      </c>
      <c r="J136" s="143">
        <f>J181*4</f>
        <v>8</v>
      </c>
      <c r="K136" s="167">
        <f>H136*J136</f>
        <v>0</v>
      </c>
      <c r="L136" s="169">
        <v>0</v>
      </c>
      <c r="M136" s="79">
        <f>(J136*L136+J136)</f>
        <v>8</v>
      </c>
      <c r="N136" s="149">
        <f>K136+K136*L136</f>
        <v>0</v>
      </c>
      <c r="O136" s="22" t="e">
        <f>N136/$N$127</f>
        <v>#DIV/0!</v>
      </c>
      <c r="P136" s="124">
        <v>0</v>
      </c>
      <c r="Q136" s="125">
        <f>P136*J136</f>
        <v>0</v>
      </c>
      <c r="R136" s="76"/>
    </row>
    <row r="137" spans="1:18" ht="30" x14ac:dyDescent="0.25">
      <c r="A137" s="126"/>
      <c r="B137" s="123"/>
      <c r="C137" s="80" t="s">
        <v>221</v>
      </c>
      <c r="D137" s="80" t="s">
        <v>220</v>
      </c>
      <c r="E137" s="80" t="s">
        <v>224</v>
      </c>
      <c r="F137" s="80"/>
      <c r="G137" s="81" t="s">
        <v>281</v>
      </c>
      <c r="H137" s="135"/>
      <c r="I137" s="171" t="s">
        <v>38</v>
      </c>
      <c r="J137" s="143">
        <f>J181</f>
        <v>2</v>
      </c>
      <c r="K137" s="167">
        <f>H137*J137</f>
        <v>0</v>
      </c>
      <c r="L137" s="169">
        <v>0</v>
      </c>
      <c r="M137" s="79">
        <f>(J137*L137+J137)</f>
        <v>2</v>
      </c>
      <c r="N137" s="149">
        <f>K137+K137*L137</f>
        <v>0</v>
      </c>
      <c r="O137" s="22" t="e">
        <f>N137/$N$127</f>
        <v>#DIV/0!</v>
      </c>
      <c r="P137" s="124"/>
      <c r="Q137" s="125"/>
      <c r="R137" s="76"/>
    </row>
    <row r="138" spans="1:18" x14ac:dyDescent="0.25">
      <c r="A138" s="126"/>
      <c r="B138" s="123"/>
      <c r="C138" s="80" t="s">
        <v>221</v>
      </c>
      <c r="D138" s="80" t="s">
        <v>220</v>
      </c>
      <c r="E138" s="80" t="s">
        <v>280</v>
      </c>
      <c r="F138" s="80"/>
      <c r="G138" s="81" t="s">
        <v>279</v>
      </c>
      <c r="H138" s="135"/>
      <c r="I138" s="171" t="s">
        <v>4</v>
      </c>
      <c r="J138" s="143">
        <f>[1]Données!E20</f>
        <v>46.13</v>
      </c>
      <c r="K138" s="167">
        <f>H138*J138</f>
        <v>0</v>
      </c>
      <c r="L138" s="169">
        <v>0</v>
      </c>
      <c r="M138" s="79">
        <f>(J138*L138+J138)</f>
        <v>46.13</v>
      </c>
      <c r="N138" s="149">
        <f>K138+K138*L138</f>
        <v>0</v>
      </c>
      <c r="O138" s="22" t="e">
        <f>N138/$N$127</f>
        <v>#DIV/0!</v>
      </c>
      <c r="P138" s="78">
        <v>0</v>
      </c>
      <c r="Q138" s="77">
        <f>P138*J138</f>
        <v>0</v>
      </c>
      <c r="R138" s="76"/>
    </row>
    <row r="139" spans="1:18" ht="17.25" x14ac:dyDescent="0.3">
      <c r="A139" s="126"/>
      <c r="B139" s="1"/>
      <c r="C139" s="1"/>
      <c r="D139" s="1"/>
      <c r="E139" s="1"/>
      <c r="F139" s="1"/>
      <c r="G139" s="9"/>
      <c r="H139" s="42"/>
      <c r="I139" s="42"/>
      <c r="J139" s="42"/>
      <c r="K139" s="42"/>
      <c r="L139" s="42"/>
      <c r="M139" s="1"/>
      <c r="N139" s="150">
        <f>SUM(N135:N138)</f>
        <v>0</v>
      </c>
      <c r="O139" s="17"/>
      <c r="P139" s="16"/>
      <c r="Q139" s="74">
        <f>SUM(Q135:Q138)</f>
        <v>0</v>
      </c>
      <c r="R139" s="52"/>
    </row>
    <row r="140" spans="1:18" x14ac:dyDescent="0.25">
      <c r="A140" s="126"/>
      <c r="B140" s="1"/>
      <c r="C140" s="1"/>
      <c r="D140" s="1"/>
      <c r="E140" s="1"/>
      <c r="F140" s="1"/>
      <c r="G140" s="9"/>
      <c r="H140" s="42"/>
      <c r="I140" s="42"/>
      <c r="J140" s="42"/>
      <c r="K140" s="42"/>
      <c r="L140" s="42"/>
      <c r="M140" s="1"/>
      <c r="N140" s="42"/>
      <c r="P140" s="1"/>
      <c r="Q140" s="1"/>
      <c r="R140" s="1"/>
    </row>
    <row r="141" spans="1:18" x14ac:dyDescent="0.25">
      <c r="A141" s="126"/>
      <c r="B141" s="85" t="s">
        <v>278</v>
      </c>
      <c r="C141" s="80" t="s">
        <v>277</v>
      </c>
      <c r="D141" s="80" t="s">
        <v>267</v>
      </c>
      <c r="E141" s="80" t="s">
        <v>276</v>
      </c>
      <c r="F141" s="83"/>
      <c r="G141" s="81" t="s">
        <v>276</v>
      </c>
      <c r="H141" s="135"/>
      <c r="I141" s="171"/>
      <c r="J141" s="143">
        <f>IF([1]Données!E31&gt;0,Quantitatif!J15*1+Quantitatif!J17*1+4,Quantitatif!J15*1+Quantitatif!J17*1+2)</f>
        <v>6</v>
      </c>
      <c r="K141" s="167">
        <f>H141*J141</f>
        <v>0</v>
      </c>
      <c r="L141" s="169">
        <v>0</v>
      </c>
      <c r="M141" s="79">
        <f>(J141*L141+J141)</f>
        <v>6</v>
      </c>
      <c r="N141" s="149">
        <f>K141+K141*L141</f>
        <v>0</v>
      </c>
      <c r="O141" s="68"/>
      <c r="P141" s="78">
        <v>0</v>
      </c>
      <c r="Q141" s="77">
        <f>P141*J141</f>
        <v>0</v>
      </c>
      <c r="R141" s="76"/>
    </row>
    <row r="142" spans="1:18" ht="17.25" x14ac:dyDescent="0.3">
      <c r="A142" s="126"/>
      <c r="H142" s="141"/>
      <c r="K142" s="52"/>
      <c r="L142" s="16"/>
      <c r="M142" s="17"/>
      <c r="N142" s="150">
        <f>SUM(N141:N141)</f>
        <v>0</v>
      </c>
      <c r="O142" s="17"/>
      <c r="P142" s="16"/>
      <c r="Q142" s="74">
        <f>SUM(Q141:Q141)</f>
        <v>0</v>
      </c>
      <c r="R142" s="52"/>
    </row>
    <row r="143" spans="1:18" x14ac:dyDescent="0.25">
      <c r="A143" s="126"/>
      <c r="B143" s="1"/>
      <c r="C143" s="1"/>
      <c r="D143" s="1"/>
      <c r="E143" s="1"/>
      <c r="F143" s="1"/>
      <c r="G143" s="44"/>
      <c r="H143" s="43"/>
      <c r="I143" s="42"/>
      <c r="J143" s="42"/>
      <c r="K143" s="42"/>
      <c r="L143" s="43"/>
      <c r="M143" s="1"/>
      <c r="N143" s="42"/>
      <c r="O143" s="1"/>
      <c r="P143" s="43"/>
      <c r="Q143" s="42"/>
      <c r="R143" s="42"/>
    </row>
    <row r="144" spans="1:18" ht="13.9" customHeight="1" x14ac:dyDescent="0.25">
      <c r="A144" s="126"/>
      <c r="B144" s="123" t="s">
        <v>275</v>
      </c>
      <c r="C144" s="80" t="s">
        <v>221</v>
      </c>
      <c r="D144" s="80" t="s">
        <v>272</v>
      </c>
      <c r="E144" s="80" t="s">
        <v>271</v>
      </c>
      <c r="F144" s="80"/>
      <c r="G144" s="81" t="s">
        <v>274</v>
      </c>
      <c r="H144" s="135"/>
      <c r="I144" s="171" t="s">
        <v>44</v>
      </c>
      <c r="J144" s="143">
        <f>[1]Données!E17*1.07-[1]Données!E31</f>
        <v>112.35000000000001</v>
      </c>
      <c r="K144" s="167">
        <f>H144*J144</f>
        <v>0</v>
      </c>
      <c r="L144" s="169">
        <v>0.1</v>
      </c>
      <c r="M144" s="79">
        <f>(J144*L144+J144)</f>
        <v>123.58500000000001</v>
      </c>
      <c r="N144" s="149">
        <f>K144+K144*L144</f>
        <v>0</v>
      </c>
      <c r="O144" s="68" t="e">
        <f>N144/$N$127</f>
        <v>#DIV/0!</v>
      </c>
      <c r="P144" s="124">
        <v>7.2916666666666703E-3</v>
      </c>
      <c r="Q144" s="125">
        <f>P144*J144</f>
        <v>0.81921875000000044</v>
      </c>
      <c r="R144" s="76"/>
    </row>
    <row r="145" spans="1:18" x14ac:dyDescent="0.25">
      <c r="A145" s="126"/>
      <c r="B145" s="123"/>
      <c r="C145" s="80" t="s">
        <v>221</v>
      </c>
      <c r="D145" s="80" t="s">
        <v>272</v>
      </c>
      <c r="E145" s="80" t="s">
        <v>271</v>
      </c>
      <c r="F145" s="80"/>
      <c r="G145" s="81" t="s">
        <v>273</v>
      </c>
      <c r="H145" s="135"/>
      <c r="I145" s="171" t="s">
        <v>4</v>
      </c>
      <c r="J145" s="143">
        <f>ROUNDUP([1]Données!E30*0.75,0)</f>
        <v>15</v>
      </c>
      <c r="K145" s="167">
        <f>H145*J145</f>
        <v>0</v>
      </c>
      <c r="L145" s="169">
        <v>0</v>
      </c>
      <c r="M145" s="79">
        <f>(J145*L145+J145)</f>
        <v>15</v>
      </c>
      <c r="N145" s="149">
        <f>K145+K145*L145</f>
        <v>0</v>
      </c>
      <c r="O145" s="68" t="e">
        <f>N145/$N$127</f>
        <v>#DIV/0!</v>
      </c>
      <c r="P145" s="124"/>
      <c r="Q145" s="125"/>
      <c r="R145" s="76"/>
    </row>
    <row r="146" spans="1:18" ht="30" x14ac:dyDescent="0.25">
      <c r="A146" s="126"/>
      <c r="B146" s="123"/>
      <c r="C146" s="80" t="s">
        <v>221</v>
      </c>
      <c r="D146" s="80" t="s">
        <v>272</v>
      </c>
      <c r="E146" s="80" t="s">
        <v>271</v>
      </c>
      <c r="F146" s="80"/>
      <c r="G146" s="81" t="s">
        <v>270</v>
      </c>
      <c r="H146" s="135"/>
      <c r="I146" s="171" t="s">
        <v>44</v>
      </c>
      <c r="J146" s="143">
        <f>J144</f>
        <v>112.35000000000001</v>
      </c>
      <c r="K146" s="167">
        <f>H146*J146</f>
        <v>0</v>
      </c>
      <c r="L146" s="169">
        <v>0</v>
      </c>
      <c r="M146" s="79">
        <f>(J146*L146+J146)</f>
        <v>112.35000000000001</v>
      </c>
      <c r="N146" s="149">
        <f>K146+K146*L146</f>
        <v>0</v>
      </c>
      <c r="O146" s="68" t="e">
        <f>N146/$N$127</f>
        <v>#DIV/0!</v>
      </c>
      <c r="P146" s="124"/>
      <c r="Q146" s="125"/>
      <c r="R146" s="76"/>
    </row>
    <row r="147" spans="1:18" ht="17.25" x14ac:dyDescent="0.3">
      <c r="A147" s="126"/>
      <c r="H147" s="137"/>
      <c r="J147" s="4"/>
      <c r="L147" s="39"/>
      <c r="M147" s="6"/>
      <c r="N147" s="150">
        <f>SUM(N144:N146)</f>
        <v>0</v>
      </c>
      <c r="O147" s="84" t="e">
        <f>N147/$N$127</f>
        <v>#DIV/0!</v>
      </c>
      <c r="P147" s="39"/>
      <c r="Q147" s="74">
        <f>Q144</f>
        <v>0.81921875000000044</v>
      </c>
    </row>
    <row r="148" spans="1:18" x14ac:dyDescent="0.25">
      <c r="A148" s="126"/>
      <c r="B148" s="1"/>
      <c r="C148" s="1"/>
      <c r="D148" s="1"/>
      <c r="E148" s="1"/>
      <c r="F148" s="1"/>
      <c r="G148" s="44"/>
      <c r="H148" s="43"/>
      <c r="I148" s="42"/>
      <c r="J148" s="42"/>
      <c r="K148" s="42"/>
      <c r="L148" s="43"/>
      <c r="M148" s="1"/>
      <c r="N148" s="42"/>
      <c r="O148" s="1"/>
      <c r="P148" s="43"/>
      <c r="Q148" s="42"/>
      <c r="R148" s="42"/>
    </row>
    <row r="149" spans="1:18" ht="13.9" customHeight="1" x14ac:dyDescent="0.25">
      <c r="A149" s="126"/>
      <c r="B149" s="123" t="s">
        <v>237</v>
      </c>
      <c r="C149" s="80" t="s">
        <v>249</v>
      </c>
      <c r="D149" s="80" t="s">
        <v>267</v>
      </c>
      <c r="E149" s="80" t="s">
        <v>269</v>
      </c>
      <c r="F149" s="83" t="s">
        <v>263</v>
      </c>
      <c r="G149" s="81" t="s">
        <v>268</v>
      </c>
      <c r="H149" s="135"/>
      <c r="I149" s="171" t="s">
        <v>4</v>
      </c>
      <c r="J149" s="143">
        <f>J22</f>
        <v>3</v>
      </c>
      <c r="K149" s="167">
        <f t="shared" ref="K149:K168" si="16">H149*J149</f>
        <v>0</v>
      </c>
      <c r="L149" s="169">
        <v>0</v>
      </c>
      <c r="M149" s="79">
        <f t="shared" ref="M149:M168" si="17">(J149*L149+J149)</f>
        <v>3</v>
      </c>
      <c r="N149" s="149">
        <f t="shared" ref="N149:N168" si="18">K149+K149*L149</f>
        <v>0</v>
      </c>
      <c r="O149" s="68"/>
      <c r="P149" s="78">
        <v>0.16666666666666699</v>
      </c>
      <c r="Q149" s="77">
        <f t="shared" ref="Q149:Q168" si="19">P149*J149</f>
        <v>0.500000000000001</v>
      </c>
      <c r="R149" s="76"/>
    </row>
    <row r="150" spans="1:18" x14ac:dyDescent="0.25">
      <c r="A150" s="126"/>
      <c r="B150" s="123"/>
      <c r="C150" s="80" t="s">
        <v>249</v>
      </c>
      <c r="D150" s="80" t="s">
        <v>267</v>
      </c>
      <c r="E150" s="80" t="s">
        <v>266</v>
      </c>
      <c r="F150" s="83" t="s">
        <v>263</v>
      </c>
      <c r="G150" s="81" t="s">
        <v>265</v>
      </c>
      <c r="H150" s="135"/>
      <c r="I150" s="171" t="s">
        <v>4</v>
      </c>
      <c r="J150" s="143">
        <f>J23</f>
        <v>1</v>
      </c>
      <c r="K150" s="167">
        <f t="shared" si="16"/>
        <v>0</v>
      </c>
      <c r="L150" s="169">
        <v>0</v>
      </c>
      <c r="M150" s="79">
        <f t="shared" si="17"/>
        <v>1</v>
      </c>
      <c r="N150" s="149">
        <f t="shared" si="18"/>
        <v>0</v>
      </c>
      <c r="O150" s="68"/>
      <c r="P150" s="78">
        <v>0.16666666666666699</v>
      </c>
      <c r="Q150" s="77">
        <f t="shared" si="19"/>
        <v>0.16666666666666699</v>
      </c>
      <c r="R150" s="76"/>
    </row>
    <row r="151" spans="1:18" x14ac:dyDescent="0.25">
      <c r="A151" s="126"/>
      <c r="B151" s="123"/>
      <c r="C151" s="80" t="s">
        <v>249</v>
      </c>
      <c r="D151" s="80" t="s">
        <v>264</v>
      </c>
      <c r="E151" s="80" t="s">
        <v>264</v>
      </c>
      <c r="F151" s="83" t="s">
        <v>263</v>
      </c>
      <c r="G151" s="81" t="s">
        <v>262</v>
      </c>
      <c r="H151" s="135"/>
      <c r="I151" s="171" t="s">
        <v>4</v>
      </c>
      <c r="J151" s="143">
        <v>1</v>
      </c>
      <c r="K151" s="167">
        <f t="shared" si="16"/>
        <v>0</v>
      </c>
      <c r="L151" s="169">
        <v>0</v>
      </c>
      <c r="M151" s="79">
        <f t="shared" si="17"/>
        <v>1</v>
      </c>
      <c r="N151" s="149">
        <f t="shared" si="18"/>
        <v>0</v>
      </c>
      <c r="O151" s="68"/>
      <c r="P151" s="78">
        <v>0.66666666666666696</v>
      </c>
      <c r="Q151" s="77">
        <f t="shared" si="19"/>
        <v>0.66666666666666696</v>
      </c>
      <c r="R151" s="76"/>
    </row>
    <row r="152" spans="1:18" x14ac:dyDescent="0.25">
      <c r="A152" s="126"/>
      <c r="B152" s="123"/>
      <c r="C152" s="80" t="s">
        <v>249</v>
      </c>
      <c r="D152" s="80" t="s">
        <v>259</v>
      </c>
      <c r="E152" s="80" t="s">
        <v>261</v>
      </c>
      <c r="F152" s="83" t="s">
        <v>260</v>
      </c>
      <c r="G152" s="81" t="s">
        <v>259</v>
      </c>
      <c r="H152" s="135"/>
      <c r="I152" s="171" t="s">
        <v>4</v>
      </c>
      <c r="J152" s="143">
        <f>J149+J150</f>
        <v>4</v>
      </c>
      <c r="K152" s="167">
        <f t="shared" si="16"/>
        <v>0</v>
      </c>
      <c r="L152" s="169">
        <v>0</v>
      </c>
      <c r="M152" s="79">
        <f t="shared" si="17"/>
        <v>4</v>
      </c>
      <c r="N152" s="149">
        <f t="shared" si="18"/>
        <v>0</v>
      </c>
      <c r="O152" s="68"/>
      <c r="P152" s="78">
        <v>8.3333333333333301E-2</v>
      </c>
      <c r="Q152" s="77">
        <f t="shared" si="19"/>
        <v>0.3333333333333332</v>
      </c>
      <c r="R152" s="76"/>
    </row>
    <row r="153" spans="1:18" x14ac:dyDescent="0.25">
      <c r="A153" s="126"/>
      <c r="B153" s="123"/>
      <c r="C153" s="80" t="s">
        <v>221</v>
      </c>
      <c r="D153" s="80" t="s">
        <v>55</v>
      </c>
      <c r="E153" s="80" t="s">
        <v>236</v>
      </c>
      <c r="F153" s="80"/>
      <c r="G153" s="81" t="s">
        <v>258</v>
      </c>
      <c r="H153" s="135"/>
      <c r="I153" s="171" t="s">
        <v>4</v>
      </c>
      <c r="J153" s="143">
        <f>ROUNDUP([1]Données!E20*1.1/4,0)</f>
        <v>13</v>
      </c>
      <c r="K153" s="167">
        <f t="shared" si="16"/>
        <v>0</v>
      </c>
      <c r="L153" s="169">
        <v>0.1</v>
      </c>
      <c r="M153" s="79">
        <f t="shared" si="17"/>
        <v>14.3</v>
      </c>
      <c r="N153" s="149">
        <f t="shared" si="18"/>
        <v>0</v>
      </c>
      <c r="O153" s="68"/>
      <c r="P153" s="78">
        <v>9.9305555555555605E-2</v>
      </c>
      <c r="Q153" s="77">
        <f t="shared" si="19"/>
        <v>1.2909722222222229</v>
      </c>
      <c r="R153" s="76"/>
    </row>
    <row r="154" spans="1:18" x14ac:dyDescent="0.25">
      <c r="A154" s="126"/>
      <c r="B154" s="123"/>
      <c r="C154" s="80" t="s">
        <v>249</v>
      </c>
      <c r="D154" s="80" t="s">
        <v>55</v>
      </c>
      <c r="E154" s="80" t="s">
        <v>256</v>
      </c>
      <c r="F154" s="80"/>
      <c r="G154" s="81" t="s">
        <v>257</v>
      </c>
      <c r="H154" s="135"/>
      <c r="I154" s="171" t="s">
        <v>44</v>
      </c>
      <c r="J154" s="143" t="e">
        <f>J53/3</f>
        <v>#REF!</v>
      </c>
      <c r="K154" s="167" t="e">
        <f t="shared" si="16"/>
        <v>#REF!</v>
      </c>
      <c r="L154" s="169">
        <v>0</v>
      </c>
      <c r="M154" s="79" t="e">
        <f t="shared" si="17"/>
        <v>#REF!</v>
      </c>
      <c r="N154" s="149" t="e">
        <f t="shared" si="18"/>
        <v>#REF!</v>
      </c>
      <c r="O154" s="68"/>
      <c r="P154" s="78">
        <v>1.38888888888889E-2</v>
      </c>
      <c r="Q154" s="77" t="e">
        <f t="shared" si="19"/>
        <v>#REF!</v>
      </c>
      <c r="R154" s="76"/>
    </row>
    <row r="155" spans="1:18" hidden="1" x14ac:dyDescent="0.25">
      <c r="A155" s="126"/>
      <c r="B155" s="123"/>
      <c r="C155" s="80" t="s">
        <v>249</v>
      </c>
      <c r="D155" s="80" t="s">
        <v>55</v>
      </c>
      <c r="E155" s="80" t="s">
        <v>256</v>
      </c>
      <c r="F155" s="80"/>
      <c r="G155" s="81" t="s">
        <v>255</v>
      </c>
      <c r="H155" s="135"/>
      <c r="I155" s="171" t="s">
        <v>44</v>
      </c>
      <c r="J155" s="143" t="e">
        <f>J58/3</f>
        <v>#REF!</v>
      </c>
      <c r="K155" s="167" t="e">
        <f t="shared" si="16"/>
        <v>#REF!</v>
      </c>
      <c r="L155" s="169">
        <v>0</v>
      </c>
      <c r="M155" s="79" t="e">
        <f t="shared" si="17"/>
        <v>#REF!</v>
      </c>
      <c r="N155" s="149" t="e">
        <f t="shared" si="18"/>
        <v>#REF!</v>
      </c>
      <c r="O155" s="68"/>
      <c r="P155" s="78">
        <v>4.1666666666666699E-2</v>
      </c>
      <c r="Q155" s="77" t="e">
        <f t="shared" si="19"/>
        <v>#REF!</v>
      </c>
      <c r="R155" s="76"/>
    </row>
    <row r="156" spans="1:18" x14ac:dyDescent="0.25">
      <c r="A156" s="126"/>
      <c r="B156" s="123"/>
      <c r="C156" s="80" t="s">
        <v>249</v>
      </c>
      <c r="D156" s="80" t="s">
        <v>55</v>
      </c>
      <c r="E156" s="80" t="s">
        <v>254</v>
      </c>
      <c r="F156" s="80"/>
      <c r="G156" s="81" t="s">
        <v>253</v>
      </c>
      <c r="H156" s="135"/>
      <c r="I156" s="171" t="s">
        <v>44</v>
      </c>
      <c r="J156" s="143" t="e">
        <f>J62/3</f>
        <v>#REF!</v>
      </c>
      <c r="K156" s="167" t="e">
        <f t="shared" si="16"/>
        <v>#REF!</v>
      </c>
      <c r="L156" s="169">
        <v>0</v>
      </c>
      <c r="M156" s="79" t="e">
        <f t="shared" si="17"/>
        <v>#REF!</v>
      </c>
      <c r="N156" s="149" t="e">
        <f t="shared" si="18"/>
        <v>#REF!</v>
      </c>
      <c r="O156" s="68"/>
      <c r="P156" s="78">
        <v>4.3749999999999997E-2</v>
      </c>
      <c r="Q156" s="77" t="e">
        <f t="shared" si="19"/>
        <v>#REF!</v>
      </c>
      <c r="R156" s="76"/>
    </row>
    <row r="157" spans="1:18" hidden="1" x14ac:dyDescent="0.25">
      <c r="A157" s="126"/>
      <c r="B157" s="123"/>
      <c r="C157" s="80" t="s">
        <v>249</v>
      </c>
      <c r="D157" s="80" t="s">
        <v>55</v>
      </c>
      <c r="E157" s="80" t="s">
        <v>252</v>
      </c>
      <c r="F157" s="80"/>
      <c r="G157" s="81" t="s">
        <v>251</v>
      </c>
      <c r="H157" s="135"/>
      <c r="I157" s="171" t="s">
        <v>44</v>
      </c>
      <c r="J157" s="143" t="e">
        <f>J67/3</f>
        <v>#REF!</v>
      </c>
      <c r="K157" s="167" t="e">
        <f t="shared" si="16"/>
        <v>#REF!</v>
      </c>
      <c r="L157" s="169">
        <v>0</v>
      </c>
      <c r="M157" s="79" t="e">
        <f t="shared" si="17"/>
        <v>#REF!</v>
      </c>
      <c r="N157" s="149" t="e">
        <f t="shared" si="18"/>
        <v>#REF!</v>
      </c>
      <c r="O157" s="68"/>
      <c r="P157" s="78">
        <v>4.1666666666666699E-2</v>
      </c>
      <c r="Q157" s="77" t="e">
        <f t="shared" si="19"/>
        <v>#REF!</v>
      </c>
      <c r="R157" s="76"/>
    </row>
    <row r="158" spans="1:18" hidden="1" x14ac:dyDescent="0.25">
      <c r="A158" s="126"/>
      <c r="B158" s="123"/>
      <c r="C158" s="80" t="s">
        <v>249</v>
      </c>
      <c r="D158" s="80" t="s">
        <v>55</v>
      </c>
      <c r="E158" s="80" t="s">
        <v>248</v>
      </c>
      <c r="F158" s="80"/>
      <c r="G158" s="81" t="s">
        <v>250</v>
      </c>
      <c r="H158" s="135"/>
      <c r="I158" s="171" t="s">
        <v>44</v>
      </c>
      <c r="J158" s="143" t="e">
        <f>J71/3</f>
        <v>#REF!</v>
      </c>
      <c r="K158" s="167" t="e">
        <f t="shared" si="16"/>
        <v>#REF!</v>
      </c>
      <c r="L158" s="169">
        <v>0</v>
      </c>
      <c r="M158" s="79" t="e">
        <f t="shared" si="17"/>
        <v>#REF!</v>
      </c>
      <c r="N158" s="149" t="e">
        <f t="shared" si="18"/>
        <v>#REF!</v>
      </c>
      <c r="O158" s="68"/>
      <c r="P158" s="78">
        <v>4.1666666666666699E-2</v>
      </c>
      <c r="Q158" s="77" t="e">
        <f t="shared" si="19"/>
        <v>#REF!</v>
      </c>
      <c r="R158" s="76"/>
    </row>
    <row r="159" spans="1:18" hidden="1" x14ac:dyDescent="0.25">
      <c r="A159" s="126"/>
      <c r="B159" s="123"/>
      <c r="C159" s="80" t="s">
        <v>249</v>
      </c>
      <c r="D159" s="80" t="s">
        <v>55</v>
      </c>
      <c r="E159" s="80" t="s">
        <v>248</v>
      </c>
      <c r="F159" s="80"/>
      <c r="G159" s="81" t="s">
        <v>247</v>
      </c>
      <c r="H159" s="135"/>
      <c r="I159" s="171" t="s">
        <v>44</v>
      </c>
      <c r="J159" s="143" t="e">
        <f>J76/3</f>
        <v>#REF!</v>
      </c>
      <c r="K159" s="167" t="e">
        <f t="shared" si="16"/>
        <v>#REF!</v>
      </c>
      <c r="L159" s="169">
        <v>0</v>
      </c>
      <c r="M159" s="79" t="e">
        <f t="shared" si="17"/>
        <v>#REF!</v>
      </c>
      <c r="N159" s="149" t="e">
        <f t="shared" si="18"/>
        <v>#REF!</v>
      </c>
      <c r="O159" s="68"/>
      <c r="P159" s="78">
        <v>4.1666666666666699E-2</v>
      </c>
      <c r="Q159" s="77" t="e">
        <f t="shared" si="19"/>
        <v>#REF!</v>
      </c>
      <c r="R159" s="76"/>
    </row>
    <row r="160" spans="1:18" x14ac:dyDescent="0.25">
      <c r="A160" s="126"/>
      <c r="B160" s="123"/>
      <c r="C160" s="80" t="s">
        <v>221</v>
      </c>
      <c r="D160" s="80" t="s">
        <v>178</v>
      </c>
      <c r="E160" s="83" t="s">
        <v>242</v>
      </c>
      <c r="F160" s="80"/>
      <c r="G160" s="82" t="s">
        <v>246</v>
      </c>
      <c r="H160" s="135"/>
      <c r="I160" s="171" t="s">
        <v>4</v>
      </c>
      <c r="J160" s="143">
        <f>J94</f>
        <v>0</v>
      </c>
      <c r="K160" s="167">
        <f t="shared" si="16"/>
        <v>0</v>
      </c>
      <c r="L160" s="169">
        <v>0</v>
      </c>
      <c r="M160" s="79">
        <f t="shared" si="17"/>
        <v>0</v>
      </c>
      <c r="N160" s="149">
        <f t="shared" si="18"/>
        <v>0</v>
      </c>
      <c r="O160" s="68"/>
      <c r="P160" s="78">
        <v>0.20833333333333301</v>
      </c>
      <c r="Q160" s="77">
        <f t="shared" si="19"/>
        <v>0</v>
      </c>
      <c r="R160" s="76"/>
    </row>
    <row r="161" spans="1:18" x14ac:dyDescent="0.25">
      <c r="A161" s="126"/>
      <c r="B161" s="123"/>
      <c r="C161" s="80" t="s">
        <v>221</v>
      </c>
      <c r="D161" s="80" t="s">
        <v>178</v>
      </c>
      <c r="E161" s="83" t="s">
        <v>242</v>
      </c>
      <c r="F161" s="80"/>
      <c r="G161" s="82" t="s">
        <v>245</v>
      </c>
      <c r="H161" s="135"/>
      <c r="I161" s="171" t="s">
        <v>4</v>
      </c>
      <c r="J161" s="143">
        <f>J95</f>
        <v>0</v>
      </c>
      <c r="K161" s="167">
        <f t="shared" si="16"/>
        <v>0</v>
      </c>
      <c r="L161" s="169">
        <v>0</v>
      </c>
      <c r="M161" s="79">
        <f t="shared" si="17"/>
        <v>0</v>
      </c>
      <c r="N161" s="149">
        <f t="shared" si="18"/>
        <v>0</v>
      </c>
      <c r="O161" s="68"/>
      <c r="P161" s="78">
        <v>0.20833333333333301</v>
      </c>
      <c r="Q161" s="77">
        <f t="shared" si="19"/>
        <v>0</v>
      </c>
      <c r="R161" s="76"/>
    </row>
    <row r="162" spans="1:18" x14ac:dyDescent="0.25">
      <c r="A162" s="126"/>
      <c r="B162" s="123"/>
      <c r="C162" s="80" t="s">
        <v>221</v>
      </c>
      <c r="D162" s="80" t="s">
        <v>178</v>
      </c>
      <c r="E162" s="83" t="s">
        <v>242</v>
      </c>
      <c r="F162" s="80"/>
      <c r="G162" s="82" t="s">
        <v>244</v>
      </c>
      <c r="H162" s="135"/>
      <c r="I162" s="171" t="s">
        <v>4</v>
      </c>
      <c r="J162" s="143">
        <f>J96</f>
        <v>0</v>
      </c>
      <c r="K162" s="167">
        <f t="shared" si="16"/>
        <v>0</v>
      </c>
      <c r="L162" s="169">
        <v>0</v>
      </c>
      <c r="M162" s="79">
        <f t="shared" si="17"/>
        <v>0</v>
      </c>
      <c r="N162" s="149">
        <f t="shared" si="18"/>
        <v>0</v>
      </c>
      <c r="O162" s="68"/>
      <c r="P162" s="78">
        <v>0.25</v>
      </c>
      <c r="Q162" s="77">
        <f t="shared" si="19"/>
        <v>0</v>
      </c>
      <c r="R162" s="76"/>
    </row>
    <row r="163" spans="1:18" x14ac:dyDescent="0.25">
      <c r="A163" s="126"/>
      <c r="B163" s="123"/>
      <c r="C163" s="80" t="s">
        <v>221</v>
      </c>
      <c r="D163" s="80" t="s">
        <v>178</v>
      </c>
      <c r="E163" s="83" t="s">
        <v>242</v>
      </c>
      <c r="F163" s="80"/>
      <c r="G163" s="82" t="s">
        <v>243</v>
      </c>
      <c r="H163" s="135"/>
      <c r="I163" s="171" t="s">
        <v>4</v>
      </c>
      <c r="J163" s="143">
        <f>J97</f>
        <v>1</v>
      </c>
      <c r="K163" s="167">
        <f t="shared" si="16"/>
        <v>0</v>
      </c>
      <c r="L163" s="169">
        <v>0</v>
      </c>
      <c r="M163" s="79">
        <f t="shared" si="17"/>
        <v>1</v>
      </c>
      <c r="N163" s="149">
        <f t="shared" si="18"/>
        <v>0</v>
      </c>
      <c r="O163" s="68"/>
      <c r="P163" s="78">
        <v>0.25</v>
      </c>
      <c r="Q163" s="77">
        <f t="shared" si="19"/>
        <v>0.25</v>
      </c>
      <c r="R163" s="76"/>
    </row>
    <row r="164" spans="1:18" x14ac:dyDescent="0.25">
      <c r="A164" s="126"/>
      <c r="B164" s="123"/>
      <c r="C164" s="80" t="s">
        <v>221</v>
      </c>
      <c r="D164" s="80" t="s">
        <v>178</v>
      </c>
      <c r="E164" s="83" t="s">
        <v>242</v>
      </c>
      <c r="F164" s="80"/>
      <c r="G164" s="82" t="s">
        <v>241</v>
      </c>
      <c r="H164" s="135"/>
      <c r="I164" s="171" t="s">
        <v>4</v>
      </c>
      <c r="J164" s="143">
        <f>J98</f>
        <v>0</v>
      </c>
      <c r="K164" s="167">
        <f t="shared" si="16"/>
        <v>0</v>
      </c>
      <c r="L164" s="169">
        <v>0</v>
      </c>
      <c r="M164" s="79">
        <f t="shared" si="17"/>
        <v>0</v>
      </c>
      <c r="N164" s="149">
        <f t="shared" si="18"/>
        <v>0</v>
      </c>
      <c r="O164" s="68"/>
      <c r="P164" s="78">
        <v>0.5</v>
      </c>
      <c r="Q164" s="77">
        <f t="shared" si="19"/>
        <v>0</v>
      </c>
      <c r="R164" s="76"/>
    </row>
    <row r="165" spans="1:18" x14ac:dyDescent="0.25">
      <c r="A165" s="126"/>
      <c r="B165" s="123"/>
      <c r="C165" s="80" t="s">
        <v>221</v>
      </c>
      <c r="D165" s="80" t="s">
        <v>178</v>
      </c>
      <c r="E165" s="83" t="s">
        <v>240</v>
      </c>
      <c r="F165" s="80"/>
      <c r="G165" s="82">
        <v>90</v>
      </c>
      <c r="H165" s="135"/>
      <c r="I165" s="171" t="s">
        <v>4</v>
      </c>
      <c r="J165" s="143">
        <f>J100</f>
        <v>1</v>
      </c>
      <c r="K165" s="167">
        <f t="shared" si="16"/>
        <v>0</v>
      </c>
      <c r="L165" s="169">
        <v>0</v>
      </c>
      <c r="M165" s="79">
        <f t="shared" si="17"/>
        <v>1</v>
      </c>
      <c r="N165" s="149">
        <f t="shared" si="18"/>
        <v>0</v>
      </c>
      <c r="O165" s="68"/>
      <c r="P165" s="78">
        <v>0.16666666666666699</v>
      </c>
      <c r="Q165" s="77">
        <f t="shared" si="19"/>
        <v>0.16666666666666699</v>
      </c>
      <c r="R165" s="76"/>
    </row>
    <row r="166" spans="1:18" x14ac:dyDescent="0.25">
      <c r="A166" s="126"/>
      <c r="B166" s="123"/>
      <c r="C166" s="80" t="s">
        <v>221</v>
      </c>
      <c r="D166" s="80" t="s">
        <v>178</v>
      </c>
      <c r="E166" s="83" t="s">
        <v>240</v>
      </c>
      <c r="F166" s="80"/>
      <c r="G166" s="82">
        <v>140</v>
      </c>
      <c r="H166" s="135"/>
      <c r="I166" s="171" t="s">
        <v>4</v>
      </c>
      <c r="J166" s="143">
        <f>J101</f>
        <v>0</v>
      </c>
      <c r="K166" s="167">
        <f t="shared" si="16"/>
        <v>0</v>
      </c>
      <c r="L166" s="169">
        <v>0</v>
      </c>
      <c r="M166" s="79">
        <f t="shared" si="17"/>
        <v>0</v>
      </c>
      <c r="N166" s="149">
        <f t="shared" si="18"/>
        <v>0</v>
      </c>
      <c r="O166" s="68"/>
      <c r="P166" s="78">
        <v>0.16666666666666699</v>
      </c>
      <c r="Q166" s="77">
        <f t="shared" si="19"/>
        <v>0</v>
      </c>
      <c r="R166" s="76"/>
    </row>
    <row r="167" spans="1:18" x14ac:dyDescent="0.25">
      <c r="A167" s="126"/>
      <c r="B167" s="123" t="s">
        <v>37</v>
      </c>
      <c r="C167" s="80" t="s">
        <v>221</v>
      </c>
      <c r="D167" s="80" t="s">
        <v>178</v>
      </c>
      <c r="E167" s="83" t="s">
        <v>239</v>
      </c>
      <c r="F167" s="83"/>
      <c r="G167" s="82" t="s">
        <v>238</v>
      </c>
      <c r="H167" s="135"/>
      <c r="I167" s="171" t="s">
        <v>4</v>
      </c>
      <c r="J167" s="143">
        <f>+J112</f>
        <v>11</v>
      </c>
      <c r="K167" s="167">
        <f t="shared" si="16"/>
        <v>0</v>
      </c>
      <c r="L167" s="169">
        <v>0</v>
      </c>
      <c r="M167" s="79">
        <f t="shared" si="17"/>
        <v>11</v>
      </c>
      <c r="N167" s="149">
        <f t="shared" si="18"/>
        <v>0</v>
      </c>
      <c r="O167" s="68"/>
      <c r="P167" s="78">
        <v>0</v>
      </c>
      <c r="Q167" s="77">
        <f t="shared" si="19"/>
        <v>0</v>
      </c>
      <c r="R167" s="76"/>
    </row>
    <row r="168" spans="1:18" ht="30" x14ac:dyDescent="0.25">
      <c r="A168" s="126"/>
      <c r="B168" s="123" t="s">
        <v>237</v>
      </c>
      <c r="C168" s="80" t="s">
        <v>221</v>
      </c>
      <c r="D168" s="80" t="s">
        <v>55</v>
      </c>
      <c r="E168" s="80" t="s">
        <v>236</v>
      </c>
      <c r="F168" s="80"/>
      <c r="G168" s="81" t="s">
        <v>235</v>
      </c>
      <c r="H168" s="135"/>
      <c r="I168" s="171" t="s">
        <v>4</v>
      </c>
      <c r="J168" s="143">
        <f>IF([1]Données!E31&gt;0,1,0)</f>
        <v>0</v>
      </c>
      <c r="K168" s="167">
        <f t="shared" si="16"/>
        <v>0</v>
      </c>
      <c r="L168" s="169">
        <v>0</v>
      </c>
      <c r="M168" s="79">
        <f t="shared" si="17"/>
        <v>0</v>
      </c>
      <c r="N168" s="149">
        <f t="shared" si="18"/>
        <v>0</v>
      </c>
      <c r="O168" s="68"/>
      <c r="P168" s="78">
        <v>4.5833333333333304</v>
      </c>
      <c r="Q168" s="77">
        <f t="shared" si="19"/>
        <v>0</v>
      </c>
      <c r="R168" s="76"/>
    </row>
    <row r="169" spans="1:18" ht="17.25" x14ac:dyDescent="0.3">
      <c r="G169" s="9"/>
      <c r="H169" s="114"/>
      <c r="I169" s="172"/>
      <c r="K169" s="73"/>
      <c r="L169" s="75"/>
      <c r="M169" s="72"/>
      <c r="N169" s="150" t="e">
        <f>SUM(N149:N168)</f>
        <v>#REF!</v>
      </c>
      <c r="O169" s="72"/>
      <c r="P169" s="75"/>
      <c r="Q169" s="74" t="e">
        <f>SUM(Q149:Q168)</f>
        <v>#REF!</v>
      </c>
      <c r="R169" s="73"/>
    </row>
    <row r="170" spans="1:18" ht="15.75" thickBot="1" x14ac:dyDescent="0.3">
      <c r="B170" s="1"/>
      <c r="C170" s="1"/>
      <c r="D170" s="1"/>
      <c r="E170" s="1"/>
      <c r="F170" s="1"/>
      <c r="G170" s="44"/>
      <c r="H170" s="43"/>
      <c r="I170" s="42"/>
      <c r="J170" s="42"/>
      <c r="K170" s="42"/>
      <c r="L170" s="43"/>
      <c r="M170" s="1"/>
      <c r="N170" s="42"/>
      <c r="O170" s="1"/>
      <c r="P170" s="43"/>
      <c r="Q170" s="42"/>
      <c r="R170" s="42"/>
    </row>
    <row r="171" spans="1:18" ht="21.75" thickBot="1" x14ac:dyDescent="0.4">
      <c r="B171" s="1"/>
      <c r="C171" s="1"/>
      <c r="D171" s="1"/>
      <c r="E171" s="1"/>
      <c r="F171" s="1"/>
      <c r="G171" s="44"/>
      <c r="H171" s="130" t="s">
        <v>217</v>
      </c>
      <c r="I171" s="130"/>
      <c r="J171" s="130"/>
      <c r="K171" s="130"/>
      <c r="L171" s="130"/>
      <c r="M171" s="130"/>
      <c r="N171" s="155" t="e">
        <f>+N142+N147+N169+N133+N139</f>
        <v>#REF!</v>
      </c>
      <c r="O171" s="61" t="s">
        <v>216</v>
      </c>
      <c r="P171" s="69"/>
      <c r="Q171" s="71" t="e">
        <f>Q142+Q147+Q169+Q139+Q133</f>
        <v>#REF!</v>
      </c>
      <c r="R171" s="70"/>
    </row>
    <row r="172" spans="1:18" hidden="1" x14ac:dyDescent="0.25">
      <c r="B172" s="1"/>
      <c r="C172" s="1"/>
      <c r="D172" s="1"/>
      <c r="E172" s="1"/>
      <c r="F172" s="1"/>
      <c r="G172" s="1"/>
      <c r="H172" s="42"/>
      <c r="I172" s="42"/>
      <c r="J172" s="42"/>
      <c r="K172" s="42"/>
      <c r="L172" s="42"/>
      <c r="M172" s="1"/>
      <c r="N172" s="42"/>
      <c r="O172" s="1"/>
      <c r="P172" s="1"/>
      <c r="Q172" s="1"/>
      <c r="R172" s="1"/>
    </row>
    <row r="173" spans="1:18" x14ac:dyDescent="0.25">
      <c r="B173" s="1"/>
      <c r="C173" s="1"/>
      <c r="D173" s="1"/>
      <c r="E173" s="1"/>
      <c r="F173" s="1"/>
      <c r="G173" s="1"/>
      <c r="H173" s="42"/>
      <c r="I173" s="42"/>
      <c r="J173" s="42"/>
      <c r="K173" s="42"/>
      <c r="L173" s="42"/>
      <c r="M173" s="1"/>
      <c r="N173" s="42"/>
      <c r="O173" s="1"/>
      <c r="P173" s="1"/>
      <c r="Q173" s="1"/>
      <c r="R173" s="1"/>
    </row>
    <row r="174" spans="1:18" x14ac:dyDescent="0.25">
      <c r="B174" s="1"/>
      <c r="C174" s="1"/>
      <c r="D174" s="1"/>
      <c r="E174" s="1"/>
      <c r="F174" s="1"/>
      <c r="G174" s="1"/>
      <c r="H174" s="42"/>
      <c r="I174" s="42"/>
      <c r="J174" s="42"/>
      <c r="K174" s="42"/>
      <c r="L174" s="42"/>
      <c r="M174" s="1"/>
      <c r="N174" s="42"/>
      <c r="O174" s="1"/>
      <c r="P174" s="1"/>
      <c r="Q174" s="1"/>
      <c r="R174" s="1"/>
    </row>
    <row r="175" spans="1:18" x14ac:dyDescent="0.25">
      <c r="A175" s="128" t="s">
        <v>234</v>
      </c>
      <c r="B175" s="63" t="s">
        <v>233</v>
      </c>
      <c r="C175" s="63" t="s">
        <v>233</v>
      </c>
      <c r="D175" s="63" t="s">
        <v>233</v>
      </c>
      <c r="E175" s="63" t="s">
        <v>232</v>
      </c>
      <c r="F175" s="63"/>
      <c r="G175" s="65" t="s">
        <v>232</v>
      </c>
      <c r="H175" s="135"/>
      <c r="I175" s="173"/>
      <c r="J175" s="143">
        <v>1</v>
      </c>
      <c r="K175" s="168">
        <f>H175*J175</f>
        <v>0</v>
      </c>
      <c r="L175" s="170">
        <v>0</v>
      </c>
      <c r="M175" s="62">
        <f>(J175*L175+J175)</f>
        <v>1</v>
      </c>
      <c r="N175" s="149">
        <f>K175+K175*L175</f>
        <v>0</v>
      </c>
      <c r="O175" s="68"/>
      <c r="P175" s="21">
        <v>0</v>
      </c>
      <c r="Q175" s="20">
        <v>0</v>
      </c>
      <c r="R175" s="19"/>
    </row>
    <row r="176" spans="1:18" ht="17.25" x14ac:dyDescent="0.3">
      <c r="A176" s="128"/>
      <c r="B176" s="1"/>
      <c r="C176" s="1"/>
      <c r="D176" s="1"/>
      <c r="E176" s="1"/>
      <c r="F176" s="1"/>
      <c r="G176" s="1"/>
      <c r="H176" s="42"/>
      <c r="I176" s="42"/>
      <c r="J176" s="42"/>
      <c r="K176" s="42"/>
      <c r="L176" s="42"/>
      <c r="M176" s="1"/>
      <c r="N176" s="150">
        <f>SUM(N175)</f>
        <v>0</v>
      </c>
      <c r="O176" s="1"/>
      <c r="P176" s="1"/>
      <c r="Q176" s="15">
        <f>Q175</f>
        <v>0</v>
      </c>
      <c r="R176" s="1"/>
    </row>
    <row r="177" spans="1:18" x14ac:dyDescent="0.25">
      <c r="A177" s="128"/>
      <c r="B177" s="1"/>
      <c r="C177" s="1"/>
      <c r="D177" s="1"/>
      <c r="E177" s="1"/>
      <c r="F177" s="1"/>
      <c r="G177" s="1"/>
      <c r="H177" s="42"/>
      <c r="I177" s="42"/>
      <c r="J177" s="42"/>
      <c r="K177" s="42"/>
      <c r="L177" s="42"/>
      <c r="M177" s="1"/>
      <c r="N177" s="42"/>
      <c r="O177" s="1"/>
      <c r="P177" s="1"/>
      <c r="Q177" s="1"/>
      <c r="R177" s="1"/>
    </row>
    <row r="178" spans="1:18" ht="13.9" customHeight="1" x14ac:dyDescent="0.25">
      <c r="A178" s="128"/>
      <c r="B178" s="129" t="s">
        <v>231</v>
      </c>
      <c r="C178" s="63" t="s">
        <v>221</v>
      </c>
      <c r="D178" s="63" t="s">
        <v>220</v>
      </c>
      <c r="E178" s="63" t="s">
        <v>227</v>
      </c>
      <c r="F178" s="63"/>
      <c r="G178" s="64" t="s">
        <v>230</v>
      </c>
      <c r="H178" s="135"/>
      <c r="I178" s="173" t="s">
        <v>44</v>
      </c>
      <c r="J178" s="143">
        <f>J45</f>
        <v>107.10000000000001</v>
      </c>
      <c r="K178" s="168">
        <f t="shared" ref="K178:K184" si="20">H178*J178</f>
        <v>0</v>
      </c>
      <c r="L178" s="170">
        <v>0</v>
      </c>
      <c r="M178" s="62">
        <f t="shared" ref="M178:M184" si="21">(J178*L178+J178)</f>
        <v>107.10000000000001</v>
      </c>
      <c r="N178" s="149">
        <f t="shared" ref="N178:N184" si="22">K178+K178*L178</f>
        <v>0</v>
      </c>
      <c r="O178" s="22" t="e">
        <f t="shared" ref="O178:O184" si="23">N178/$N$127</f>
        <v>#DIV/0!</v>
      </c>
      <c r="P178" s="21">
        <v>0</v>
      </c>
      <c r="Q178" s="20">
        <f t="shared" ref="Q178:Q184" si="24">P178*J178</f>
        <v>0</v>
      </c>
      <c r="R178" s="19"/>
    </row>
    <row r="179" spans="1:18" x14ac:dyDescent="0.25">
      <c r="A179" s="128"/>
      <c r="B179" s="129"/>
      <c r="C179" s="63" t="s">
        <v>221</v>
      </c>
      <c r="D179" s="63" t="s">
        <v>220</v>
      </c>
      <c r="E179" s="63" t="s">
        <v>227</v>
      </c>
      <c r="F179" s="63"/>
      <c r="G179" s="64" t="s">
        <v>229</v>
      </c>
      <c r="H179" s="135"/>
      <c r="I179" s="173" t="s">
        <v>228</v>
      </c>
      <c r="J179" s="143">
        <f>([1]Données!E20-0.1*[1]Données!E36+0.1*[1]Données!E35)</f>
        <v>45.730000000000004</v>
      </c>
      <c r="K179" s="168">
        <f t="shared" si="20"/>
        <v>0</v>
      </c>
      <c r="L179" s="170">
        <v>0</v>
      </c>
      <c r="M179" s="62">
        <f t="shared" si="21"/>
        <v>45.730000000000004</v>
      </c>
      <c r="N179" s="149">
        <f t="shared" si="22"/>
        <v>0</v>
      </c>
      <c r="O179" s="22" t="e">
        <f t="shared" si="23"/>
        <v>#DIV/0!</v>
      </c>
      <c r="P179" s="21">
        <v>0</v>
      </c>
      <c r="Q179" s="20">
        <f t="shared" si="24"/>
        <v>0</v>
      </c>
      <c r="R179" s="19"/>
    </row>
    <row r="180" spans="1:18" ht="26.25" x14ac:dyDescent="0.25">
      <c r="A180" s="128"/>
      <c r="B180" s="129"/>
      <c r="C180" s="63" t="s">
        <v>221</v>
      </c>
      <c r="D180" s="63" t="s">
        <v>220</v>
      </c>
      <c r="E180" s="63" t="s">
        <v>227</v>
      </c>
      <c r="F180" s="63"/>
      <c r="G180" s="64" t="s">
        <v>226</v>
      </c>
      <c r="H180" s="135"/>
      <c r="I180" s="173" t="s">
        <v>4</v>
      </c>
      <c r="J180" s="143">
        <f>J295+J307+2</f>
        <v>4</v>
      </c>
      <c r="K180" s="168">
        <f t="shared" si="20"/>
        <v>0</v>
      </c>
      <c r="L180" s="170">
        <v>0</v>
      </c>
      <c r="M180" s="62">
        <f t="shared" si="21"/>
        <v>4</v>
      </c>
      <c r="N180" s="149">
        <f t="shared" si="22"/>
        <v>0</v>
      </c>
      <c r="O180" s="22" t="e">
        <f t="shared" si="23"/>
        <v>#DIV/0!</v>
      </c>
      <c r="P180" s="21">
        <v>0</v>
      </c>
      <c r="Q180" s="20">
        <f t="shared" si="24"/>
        <v>0</v>
      </c>
      <c r="R180" s="19"/>
    </row>
    <row r="181" spans="1:18" x14ac:dyDescent="0.25">
      <c r="A181" s="128"/>
      <c r="B181" s="129"/>
      <c r="C181" s="63" t="s">
        <v>221</v>
      </c>
      <c r="D181" s="63" t="s">
        <v>220</v>
      </c>
      <c r="E181" s="67" t="s">
        <v>224</v>
      </c>
      <c r="F181" s="63"/>
      <c r="G181" s="65" t="s">
        <v>225</v>
      </c>
      <c r="H181" s="135"/>
      <c r="I181" s="173" t="s">
        <v>4</v>
      </c>
      <c r="J181" s="143">
        <f>ROUNDUP(([1]Données!E15+[1]Données!E16)/2,0)</f>
        <v>2</v>
      </c>
      <c r="K181" s="168">
        <f t="shared" si="20"/>
        <v>0</v>
      </c>
      <c r="L181" s="170">
        <v>0</v>
      </c>
      <c r="M181" s="62">
        <f t="shared" si="21"/>
        <v>2</v>
      </c>
      <c r="N181" s="149">
        <f t="shared" si="22"/>
        <v>0</v>
      </c>
      <c r="O181" s="22" t="e">
        <f t="shared" si="23"/>
        <v>#DIV/0!</v>
      </c>
      <c r="P181" s="21">
        <v>0</v>
      </c>
      <c r="Q181" s="20">
        <f t="shared" si="24"/>
        <v>0</v>
      </c>
      <c r="R181" s="19"/>
    </row>
    <row r="182" spans="1:18" x14ac:dyDescent="0.25">
      <c r="A182" s="128"/>
      <c r="B182" s="129"/>
      <c r="C182" s="63" t="s">
        <v>221</v>
      </c>
      <c r="D182" s="63" t="s">
        <v>220</v>
      </c>
      <c r="E182" s="66" t="s">
        <v>224</v>
      </c>
      <c r="F182" s="63"/>
      <c r="G182" s="65" t="s">
        <v>223</v>
      </c>
      <c r="H182" s="135"/>
      <c r="I182" s="173" t="s">
        <v>4</v>
      </c>
      <c r="J182" s="143">
        <f>J181</f>
        <v>2</v>
      </c>
      <c r="K182" s="168">
        <f t="shared" si="20"/>
        <v>0</v>
      </c>
      <c r="L182" s="170">
        <v>0</v>
      </c>
      <c r="M182" s="62">
        <f t="shared" si="21"/>
        <v>2</v>
      </c>
      <c r="N182" s="149">
        <f t="shared" si="22"/>
        <v>0</v>
      </c>
      <c r="O182" s="22" t="e">
        <f t="shared" si="23"/>
        <v>#DIV/0!</v>
      </c>
      <c r="P182" s="21">
        <v>0</v>
      </c>
      <c r="Q182" s="20">
        <f t="shared" si="24"/>
        <v>0</v>
      </c>
      <c r="R182" s="19"/>
    </row>
    <row r="183" spans="1:18" x14ac:dyDescent="0.25">
      <c r="A183" s="128"/>
      <c r="B183" s="129"/>
      <c r="C183" s="63" t="s">
        <v>221</v>
      </c>
      <c r="D183" s="63" t="s">
        <v>220</v>
      </c>
      <c r="E183" s="63" t="s">
        <v>219</v>
      </c>
      <c r="F183" s="63"/>
      <c r="G183" s="65" t="s">
        <v>222</v>
      </c>
      <c r="H183" s="135"/>
      <c r="I183" s="173" t="s">
        <v>4</v>
      </c>
      <c r="J183" s="143">
        <f>J297</f>
        <v>0</v>
      </c>
      <c r="K183" s="168">
        <f t="shared" si="20"/>
        <v>0</v>
      </c>
      <c r="L183" s="170">
        <v>0</v>
      </c>
      <c r="M183" s="62">
        <f t="shared" si="21"/>
        <v>0</v>
      </c>
      <c r="N183" s="149">
        <f t="shared" si="22"/>
        <v>0</v>
      </c>
      <c r="O183" s="22" t="e">
        <f t="shared" si="23"/>
        <v>#DIV/0!</v>
      </c>
      <c r="P183" s="21">
        <v>0</v>
      </c>
      <c r="Q183" s="20">
        <f t="shared" si="24"/>
        <v>0</v>
      </c>
      <c r="R183" s="19"/>
    </row>
    <row r="184" spans="1:18" x14ac:dyDescent="0.25">
      <c r="A184" s="128"/>
      <c r="B184" s="129"/>
      <c r="C184" s="63" t="s">
        <v>221</v>
      </c>
      <c r="D184" s="63" t="s">
        <v>220</v>
      </c>
      <c r="E184" s="63" t="s">
        <v>219</v>
      </c>
      <c r="F184" s="63"/>
      <c r="G184" s="64" t="s">
        <v>218</v>
      </c>
      <c r="H184" s="135"/>
      <c r="I184" s="173" t="s">
        <v>4</v>
      </c>
      <c r="J184" s="143">
        <v>1</v>
      </c>
      <c r="K184" s="168">
        <f t="shared" si="20"/>
        <v>0</v>
      </c>
      <c r="L184" s="170">
        <v>0</v>
      </c>
      <c r="M184" s="62">
        <f t="shared" si="21"/>
        <v>1</v>
      </c>
      <c r="N184" s="149">
        <f t="shared" si="22"/>
        <v>0</v>
      </c>
      <c r="O184" s="22" t="e">
        <f t="shared" si="23"/>
        <v>#DIV/0!</v>
      </c>
      <c r="P184" s="21">
        <v>0</v>
      </c>
      <c r="Q184" s="20">
        <f t="shared" si="24"/>
        <v>0</v>
      </c>
      <c r="R184" s="19"/>
    </row>
    <row r="185" spans="1:18" ht="17.25" x14ac:dyDescent="0.3">
      <c r="B185" s="1"/>
      <c r="C185" s="1"/>
      <c r="D185" s="1"/>
      <c r="E185" s="1"/>
      <c r="F185" s="1"/>
      <c r="G185" s="1"/>
      <c r="H185" s="42"/>
      <c r="I185" s="42"/>
      <c r="J185" s="42"/>
      <c r="K185" s="42"/>
      <c r="L185" s="42"/>
      <c r="M185" s="1"/>
      <c r="N185" s="150">
        <f>SUM(N178:N184)</f>
        <v>0</v>
      </c>
      <c r="O185" s="1"/>
      <c r="P185" s="1"/>
      <c r="Q185" s="15">
        <f>SUM(Q178:Q184)</f>
        <v>0</v>
      </c>
      <c r="R185" s="1"/>
    </row>
    <row r="186" spans="1:18" ht="15.75" thickBot="1" x14ac:dyDescent="0.3">
      <c r="B186" s="1"/>
      <c r="C186" s="1"/>
      <c r="D186" s="1"/>
      <c r="E186" s="1"/>
      <c r="F186" s="1"/>
      <c r="G186" s="1"/>
      <c r="H186" s="42"/>
      <c r="I186" s="42"/>
      <c r="J186" s="42"/>
      <c r="K186" s="42"/>
      <c r="L186" s="42"/>
      <c r="M186" s="1"/>
      <c r="N186" s="42"/>
      <c r="O186" s="1"/>
      <c r="P186" s="1"/>
      <c r="Q186" s="1"/>
      <c r="R186" s="1"/>
    </row>
    <row r="187" spans="1:18" ht="21.75" thickBot="1" x14ac:dyDescent="0.4">
      <c r="A187" s="1"/>
      <c r="B187" s="1"/>
      <c r="C187" s="1"/>
      <c r="D187" s="1"/>
      <c r="E187" s="1"/>
      <c r="F187" s="1"/>
      <c r="G187" s="1"/>
      <c r="H187" s="132" t="s">
        <v>217</v>
      </c>
      <c r="I187" s="132"/>
      <c r="J187" s="132"/>
      <c r="K187" s="132"/>
      <c r="L187" s="132"/>
      <c r="M187" s="132"/>
      <c r="N187" s="156">
        <f>N176+N185</f>
        <v>0</v>
      </c>
      <c r="O187" s="61" t="s">
        <v>216</v>
      </c>
      <c r="P187" s="59"/>
      <c r="Q187" s="61">
        <f>Q176+Q185</f>
        <v>0</v>
      </c>
      <c r="R187" s="60"/>
    </row>
    <row r="188" spans="1:18" hidden="1" x14ac:dyDescent="0.25">
      <c r="A188" s="1"/>
      <c r="B188" s="1"/>
      <c r="C188" s="1"/>
      <c r="D188" s="1"/>
      <c r="E188" s="1"/>
      <c r="F188" s="1"/>
      <c r="G188" s="1"/>
      <c r="H188" s="42"/>
      <c r="I188" s="42"/>
      <c r="J188" s="42"/>
      <c r="K188" s="42"/>
      <c r="L188" s="42"/>
      <c r="M188" s="1"/>
      <c r="N188" s="42"/>
      <c r="O188" s="1"/>
      <c r="P188" s="1"/>
      <c r="Q188" s="1"/>
      <c r="R188" s="1"/>
    </row>
    <row r="189" spans="1:18" ht="15.75" thickBot="1" x14ac:dyDescent="0.3">
      <c r="A189" s="1"/>
      <c r="B189" s="1"/>
      <c r="C189" s="1"/>
      <c r="D189" s="1"/>
      <c r="E189" s="1"/>
      <c r="F189" s="1"/>
      <c r="G189" s="44"/>
      <c r="H189" s="43"/>
      <c r="I189" s="42"/>
      <c r="J189" s="42"/>
      <c r="K189" s="42"/>
      <c r="L189" s="43"/>
      <c r="M189" s="6"/>
      <c r="N189" s="42"/>
      <c r="O189" s="1"/>
      <c r="P189" s="1"/>
      <c r="Q189" s="1"/>
      <c r="R189" s="42"/>
    </row>
    <row r="190" spans="1:18" ht="27" thickBot="1" x14ac:dyDescent="0.3">
      <c r="A190" s="1"/>
      <c r="G190" s="1"/>
      <c r="H190" s="133" t="s">
        <v>215</v>
      </c>
      <c r="I190" s="133"/>
      <c r="J190" s="133"/>
      <c r="K190" s="133"/>
      <c r="L190" s="133"/>
      <c r="M190" s="133"/>
      <c r="N190" s="157" t="e">
        <f>N187+N171+N127</f>
        <v>#REF!</v>
      </c>
      <c r="O190" s="58"/>
      <c r="P190" s="57"/>
      <c r="Q190" s="56" t="e">
        <f>+Q171+Q127+Q187</f>
        <v>#REF!</v>
      </c>
      <c r="R190" s="55"/>
    </row>
    <row r="191" spans="1:18" x14ac:dyDescent="0.25">
      <c r="A191" s="1"/>
      <c r="G191" s="54"/>
      <c r="H191" s="43"/>
      <c r="I191" s="42"/>
      <c r="J191" s="42"/>
      <c r="K191" s="42"/>
      <c r="L191" s="43"/>
      <c r="M191" s="1"/>
      <c r="N191" s="42"/>
      <c r="O191" s="1"/>
      <c r="P191" s="43"/>
      <c r="Q191" s="42"/>
      <c r="R191" s="42"/>
    </row>
    <row r="192" spans="1:18" x14ac:dyDescent="0.25">
      <c r="A192" s="1"/>
      <c r="G192" s="54"/>
      <c r="H192" s="43"/>
      <c r="I192" s="42"/>
      <c r="J192" s="42"/>
      <c r="K192" s="42"/>
      <c r="L192" s="43"/>
      <c r="M192" s="1" t="s">
        <v>214</v>
      </c>
      <c r="N192" s="42"/>
      <c r="O192" s="1"/>
      <c r="P192" s="43"/>
      <c r="Q192" s="11"/>
      <c r="R192" s="42"/>
    </row>
    <row r="193" spans="1:18" x14ac:dyDescent="0.25">
      <c r="A193" s="1"/>
      <c r="G193" s="9"/>
      <c r="H193" s="114"/>
      <c r="I193" s="172"/>
      <c r="L193" s="111"/>
      <c r="N193" s="4"/>
      <c r="P193" s="39"/>
    </row>
    <row r="194" spans="1:18" x14ac:dyDescent="0.25">
      <c r="B194" s="1"/>
      <c r="C194" s="1"/>
      <c r="D194" s="1"/>
      <c r="E194" s="1"/>
      <c r="F194" s="1"/>
      <c r="G194" s="44"/>
      <c r="H194" s="43"/>
      <c r="I194" s="42"/>
      <c r="J194" s="42"/>
      <c r="K194" s="42"/>
      <c r="L194" s="43"/>
      <c r="M194" s="1"/>
      <c r="N194" s="42"/>
      <c r="O194" s="1"/>
      <c r="P194" s="43"/>
      <c r="Q194" s="42"/>
      <c r="R194" s="42"/>
    </row>
    <row r="195" spans="1:18" x14ac:dyDescent="0.25">
      <c r="B195" s="28" t="s">
        <v>213</v>
      </c>
      <c r="C195" s="25" t="s">
        <v>212</v>
      </c>
      <c r="D195" s="25" t="s">
        <v>211</v>
      </c>
      <c r="E195" s="25" t="s">
        <v>210</v>
      </c>
      <c r="F195" s="27"/>
      <c r="G195" s="26" t="s">
        <v>210</v>
      </c>
      <c r="H195" s="135"/>
      <c r="I195" s="142" t="s">
        <v>209</v>
      </c>
      <c r="J195" s="143">
        <f>[1]Données!E30</f>
        <v>20</v>
      </c>
      <c r="K195" s="148">
        <f>J195*H195</f>
        <v>0</v>
      </c>
      <c r="L195" s="159">
        <v>0</v>
      </c>
      <c r="M195" s="24">
        <f>(J195*L195+J195)</f>
        <v>20</v>
      </c>
      <c r="N195" s="158">
        <f>K195+K195*L195</f>
        <v>0</v>
      </c>
      <c r="O195" s="22"/>
      <c r="P195" s="21">
        <v>0</v>
      </c>
      <c r="Q195" s="20">
        <f>P195*J195</f>
        <v>0</v>
      </c>
      <c r="R195" s="19"/>
    </row>
    <row r="196" spans="1:18" ht="17.25" x14ac:dyDescent="0.3">
      <c r="H196" s="39"/>
      <c r="J196" s="4"/>
      <c r="L196" s="39"/>
      <c r="N196" s="150">
        <f>SUM(N195)</f>
        <v>0</v>
      </c>
      <c r="O196" s="17" t="e">
        <f>N196/$N$127</f>
        <v>#DIV/0!</v>
      </c>
      <c r="P196" s="16"/>
      <c r="Q196" s="15">
        <f>SUM(Q195)</f>
        <v>0</v>
      </c>
    </row>
    <row r="197" spans="1:18" x14ac:dyDescent="0.25">
      <c r="B197" s="1"/>
      <c r="C197" s="1"/>
      <c r="D197" s="1"/>
      <c r="E197" s="1"/>
      <c r="F197" s="1"/>
      <c r="G197" s="44"/>
      <c r="H197" s="43"/>
      <c r="I197" s="42"/>
      <c r="J197" s="42"/>
      <c r="K197" s="42"/>
      <c r="L197" s="43"/>
      <c r="M197" s="1"/>
      <c r="N197" s="42"/>
      <c r="O197" s="1"/>
      <c r="P197" s="43"/>
      <c r="Q197" s="42"/>
      <c r="R197" s="42"/>
    </row>
    <row r="198" spans="1:18" ht="13.9" customHeight="1" x14ac:dyDescent="0.25">
      <c r="B198" s="122" t="s">
        <v>208</v>
      </c>
      <c r="C198" s="25" t="s">
        <v>153</v>
      </c>
      <c r="D198" s="25" t="s">
        <v>160</v>
      </c>
      <c r="E198" s="25" t="s">
        <v>207</v>
      </c>
      <c r="F198" s="27"/>
      <c r="G198" s="26" t="s">
        <v>206</v>
      </c>
      <c r="H198" s="135"/>
      <c r="I198" s="142" t="s">
        <v>44</v>
      </c>
      <c r="J198" s="143">
        <f>_xlfn.SWITCH([1]Données!J32,G225,[1]Données!E19,G226,0,G222,[1]Données!E19,G223,[1]Données!E19,G224,[1]Données!E19)</f>
        <v>93.83</v>
      </c>
      <c r="K198" s="148">
        <f>H198*J198</f>
        <v>0</v>
      </c>
      <c r="L198" s="159">
        <v>0.1</v>
      </c>
      <c r="M198" s="24">
        <f>(J198*L198+J198)</f>
        <v>103.21299999999999</v>
      </c>
      <c r="N198" s="158">
        <f>K198+K198*L198</f>
        <v>0</v>
      </c>
      <c r="O198" s="22" t="e">
        <f>N198/$N$127</f>
        <v>#DIV/0!</v>
      </c>
      <c r="P198" s="21">
        <v>0</v>
      </c>
      <c r="Q198" s="20">
        <f>P198*J198</f>
        <v>0</v>
      </c>
      <c r="R198" s="19"/>
    </row>
    <row r="199" spans="1:18" x14ac:dyDescent="0.25">
      <c r="B199" s="122"/>
      <c r="C199" s="25" t="s">
        <v>153</v>
      </c>
      <c r="D199" s="25" t="s">
        <v>160</v>
      </c>
      <c r="E199" s="25" t="s">
        <v>205</v>
      </c>
      <c r="F199" s="27" t="s">
        <v>205</v>
      </c>
      <c r="G199" s="26" t="s">
        <v>205</v>
      </c>
      <c r="H199" s="135"/>
      <c r="I199" s="142" t="s">
        <v>44</v>
      </c>
      <c r="J199" s="143">
        <f>_xlfn.SWITCH([1]Données!J32,G226,[1]Données!E19,G225,0,G222,0,G223,0,G224,0)</f>
        <v>0</v>
      </c>
      <c r="K199" s="148">
        <f>H199*J199</f>
        <v>0</v>
      </c>
      <c r="L199" s="159">
        <v>0.1</v>
      </c>
      <c r="M199" s="24">
        <f>(J199*L199+J199)</f>
        <v>0</v>
      </c>
      <c r="N199" s="158">
        <f>K199+K199*L199</f>
        <v>0</v>
      </c>
      <c r="O199" s="22" t="e">
        <f>N199/$N$127</f>
        <v>#DIV/0!</v>
      </c>
      <c r="P199" s="53">
        <v>0</v>
      </c>
      <c r="Q199" s="20">
        <f>P199*J199</f>
        <v>0</v>
      </c>
      <c r="R199" s="19"/>
    </row>
    <row r="200" spans="1:18" ht="17.25" x14ac:dyDescent="0.3">
      <c r="H200" s="141"/>
      <c r="K200" s="52"/>
      <c r="L200" s="16"/>
      <c r="M200" s="17"/>
      <c r="N200" s="150">
        <f>SUM(N198:N199)</f>
        <v>0</v>
      </c>
      <c r="O200" s="17" t="e">
        <f>N200/$N$127</f>
        <v>#DIV/0!</v>
      </c>
      <c r="P200" s="16"/>
      <c r="Q200" s="15">
        <f>SUM(Q198:Q199)</f>
        <v>0</v>
      </c>
      <c r="R200" s="52"/>
    </row>
    <row r="201" spans="1:18" x14ac:dyDescent="0.25">
      <c r="B201" s="1"/>
      <c r="C201" s="1"/>
      <c r="D201" s="1"/>
      <c r="E201" s="1"/>
      <c r="F201" s="1"/>
      <c r="G201" s="44"/>
      <c r="H201" s="43"/>
      <c r="I201" s="42"/>
      <c r="J201" s="42"/>
      <c r="K201" s="42"/>
      <c r="L201" s="43"/>
      <c r="M201" s="1"/>
      <c r="N201" s="42"/>
      <c r="O201" s="1"/>
      <c r="P201" s="43"/>
      <c r="Q201" s="42"/>
      <c r="R201" s="42"/>
    </row>
    <row r="202" spans="1:18" ht="47.85" customHeight="1" outlineLevel="1" x14ac:dyDescent="0.25">
      <c r="B202" s="122" t="s">
        <v>204</v>
      </c>
      <c r="C202" s="25" t="s">
        <v>195</v>
      </c>
      <c r="D202" s="25" t="s">
        <v>194</v>
      </c>
      <c r="E202" s="25" t="s">
        <v>202</v>
      </c>
      <c r="F202" s="27"/>
      <c r="G202" s="26" t="s">
        <v>203</v>
      </c>
      <c r="H202" s="135"/>
      <c r="I202" s="142" t="s">
        <v>149</v>
      </c>
      <c r="J202" s="143">
        <f>[1]Données!K24</f>
        <v>100.79999999999998</v>
      </c>
      <c r="K202" s="148">
        <f t="shared" ref="K202:K208" si="25">H202*J202</f>
        <v>0</v>
      </c>
      <c r="L202" s="159">
        <v>0</v>
      </c>
      <c r="M202" s="24">
        <f t="shared" ref="M202:M208" si="26">(J202*L202+J202)</f>
        <v>100.79999999999998</v>
      </c>
      <c r="N202" s="158">
        <f t="shared" ref="N202:N208" si="27">K202+K202*L202</f>
        <v>0</v>
      </c>
      <c r="O202" s="22"/>
      <c r="P202" s="21">
        <v>0</v>
      </c>
      <c r="Q202" s="20">
        <f t="shared" ref="Q202:Q208" si="28">P202*J202</f>
        <v>0</v>
      </c>
      <c r="R202" s="19"/>
    </row>
    <row r="203" spans="1:18" ht="30" x14ac:dyDescent="0.25">
      <c r="B203" s="122"/>
      <c r="C203" s="25" t="s">
        <v>195</v>
      </c>
      <c r="D203" s="25" t="s">
        <v>194</v>
      </c>
      <c r="E203" s="25" t="s">
        <v>202</v>
      </c>
      <c r="F203" s="27"/>
      <c r="G203" s="26" t="s">
        <v>201</v>
      </c>
      <c r="H203" s="135"/>
      <c r="I203" s="142" t="s">
        <v>149</v>
      </c>
      <c r="J203" s="143">
        <f>[1]Données!K24</f>
        <v>100.79999999999998</v>
      </c>
      <c r="K203" s="148">
        <f t="shared" si="25"/>
        <v>0</v>
      </c>
      <c r="L203" s="159">
        <v>0</v>
      </c>
      <c r="M203" s="24">
        <f t="shared" si="26"/>
        <v>100.79999999999998</v>
      </c>
      <c r="N203" s="158">
        <f t="shared" si="27"/>
        <v>0</v>
      </c>
      <c r="O203" s="22"/>
      <c r="P203" s="21">
        <v>0</v>
      </c>
      <c r="Q203" s="20">
        <f t="shared" si="28"/>
        <v>0</v>
      </c>
      <c r="R203" s="19"/>
    </row>
    <row r="204" spans="1:18" ht="45" x14ac:dyDescent="0.25">
      <c r="A204" s="1"/>
      <c r="B204" s="122"/>
      <c r="C204" s="25" t="s">
        <v>195</v>
      </c>
      <c r="D204" s="25" t="s">
        <v>194</v>
      </c>
      <c r="E204" s="25" t="s">
        <v>199</v>
      </c>
      <c r="F204" s="27"/>
      <c r="G204" s="26" t="s">
        <v>200</v>
      </c>
      <c r="H204" s="135"/>
      <c r="I204" s="142" t="s">
        <v>149</v>
      </c>
      <c r="J204" s="143">
        <f>[1]Données!K25*2.5</f>
        <v>115.325</v>
      </c>
      <c r="K204" s="148">
        <f t="shared" si="25"/>
        <v>0</v>
      </c>
      <c r="L204" s="159">
        <v>0</v>
      </c>
      <c r="M204" s="24">
        <f t="shared" si="26"/>
        <v>115.325</v>
      </c>
      <c r="N204" s="158">
        <f t="shared" si="27"/>
        <v>0</v>
      </c>
      <c r="O204" s="22"/>
      <c r="P204" s="21">
        <v>0</v>
      </c>
      <c r="Q204" s="20">
        <f t="shared" si="28"/>
        <v>0</v>
      </c>
      <c r="R204" s="19"/>
    </row>
    <row r="205" spans="1:18" ht="30" x14ac:dyDescent="0.25">
      <c r="A205" s="1"/>
      <c r="B205" s="122"/>
      <c r="C205" s="25" t="s">
        <v>195</v>
      </c>
      <c r="D205" s="25" t="s">
        <v>194</v>
      </c>
      <c r="E205" s="25" t="s">
        <v>199</v>
      </c>
      <c r="F205" s="27"/>
      <c r="G205" s="26" t="s">
        <v>198</v>
      </c>
      <c r="H205" s="135"/>
      <c r="I205" s="142" t="s">
        <v>149</v>
      </c>
      <c r="J205" s="143">
        <f>J204</f>
        <v>115.325</v>
      </c>
      <c r="K205" s="148">
        <f t="shared" si="25"/>
        <v>0</v>
      </c>
      <c r="L205" s="159">
        <v>0</v>
      </c>
      <c r="M205" s="24">
        <f t="shared" si="26"/>
        <v>115.325</v>
      </c>
      <c r="N205" s="158">
        <f t="shared" si="27"/>
        <v>0</v>
      </c>
      <c r="O205" s="22"/>
      <c r="P205" s="21">
        <v>0</v>
      </c>
      <c r="Q205" s="20">
        <f t="shared" si="28"/>
        <v>0</v>
      </c>
      <c r="R205" s="19"/>
    </row>
    <row r="206" spans="1:18" ht="105" x14ac:dyDescent="0.25">
      <c r="A206" s="1"/>
      <c r="B206" s="122"/>
      <c r="C206" s="25" t="s">
        <v>195</v>
      </c>
      <c r="D206" s="25" t="s">
        <v>194</v>
      </c>
      <c r="E206" s="25" t="s">
        <v>193</v>
      </c>
      <c r="F206" s="27"/>
      <c r="G206" s="26" t="s">
        <v>197</v>
      </c>
      <c r="H206" s="135"/>
      <c r="I206" s="142" t="s">
        <v>149</v>
      </c>
      <c r="J206" s="143">
        <f>[1]Données!K26*2.5</f>
        <v>79.599999999999994</v>
      </c>
      <c r="K206" s="148">
        <f t="shared" si="25"/>
        <v>0</v>
      </c>
      <c r="L206" s="159">
        <v>0</v>
      </c>
      <c r="M206" s="24">
        <f t="shared" si="26"/>
        <v>79.599999999999994</v>
      </c>
      <c r="N206" s="158">
        <f t="shared" si="27"/>
        <v>0</v>
      </c>
      <c r="O206" s="22"/>
      <c r="P206" s="21">
        <v>0</v>
      </c>
      <c r="Q206" s="20">
        <f t="shared" si="28"/>
        <v>0</v>
      </c>
      <c r="R206" s="19"/>
    </row>
    <row r="207" spans="1:18" ht="15.95" customHeight="1" x14ac:dyDescent="0.25">
      <c r="A207" s="1"/>
      <c r="B207" s="122"/>
      <c r="C207" s="25" t="s">
        <v>195</v>
      </c>
      <c r="D207" s="25" t="s">
        <v>194</v>
      </c>
      <c r="E207" s="25" t="s">
        <v>193</v>
      </c>
      <c r="F207" s="27"/>
      <c r="G207" s="26" t="s">
        <v>196</v>
      </c>
      <c r="H207" s="135"/>
      <c r="I207" s="142" t="s">
        <v>149</v>
      </c>
      <c r="J207" s="143">
        <f>[1]Données!K27*2.5</f>
        <v>23.25</v>
      </c>
      <c r="K207" s="148">
        <f t="shared" si="25"/>
        <v>0</v>
      </c>
      <c r="L207" s="159">
        <v>0</v>
      </c>
      <c r="M207" s="24">
        <f t="shared" si="26"/>
        <v>23.25</v>
      </c>
      <c r="N207" s="158">
        <f t="shared" si="27"/>
        <v>0</v>
      </c>
      <c r="O207" s="22"/>
      <c r="P207" s="21">
        <v>0</v>
      </c>
      <c r="Q207" s="20">
        <f t="shared" si="28"/>
        <v>0</v>
      </c>
      <c r="R207" s="19"/>
    </row>
    <row r="208" spans="1:18" ht="15.95" customHeight="1" x14ac:dyDescent="0.25">
      <c r="A208" s="1"/>
      <c r="B208" s="122"/>
      <c r="C208" s="25" t="s">
        <v>195</v>
      </c>
      <c r="D208" s="25" t="s">
        <v>194</v>
      </c>
      <c r="E208" s="25" t="s">
        <v>193</v>
      </c>
      <c r="F208" s="27"/>
      <c r="G208" s="26" t="s">
        <v>192</v>
      </c>
      <c r="H208" s="135"/>
      <c r="I208" s="142" t="s">
        <v>149</v>
      </c>
      <c r="J208" s="143">
        <f>[1]Données!K28*2.5</f>
        <v>0</v>
      </c>
      <c r="K208" s="148">
        <f t="shared" si="25"/>
        <v>0</v>
      </c>
      <c r="L208" s="159">
        <v>0</v>
      </c>
      <c r="M208" s="24">
        <f t="shared" si="26"/>
        <v>0</v>
      </c>
      <c r="N208" s="158">
        <f t="shared" si="27"/>
        <v>0</v>
      </c>
      <c r="O208" s="22"/>
      <c r="P208" s="21">
        <v>0</v>
      </c>
      <c r="Q208" s="20">
        <f t="shared" si="28"/>
        <v>0</v>
      </c>
      <c r="R208" s="19"/>
    </row>
    <row r="209" spans="1:47" ht="14.85" customHeight="1" x14ac:dyDescent="0.3">
      <c r="A209" s="1"/>
      <c r="D209" s="49"/>
      <c r="E209" s="49"/>
      <c r="F209" s="49"/>
      <c r="G209" s="51"/>
      <c r="H209" s="114"/>
      <c r="I209" s="50"/>
      <c r="J209" s="50"/>
      <c r="K209" s="50"/>
      <c r="L209" s="114"/>
      <c r="M209" s="49"/>
      <c r="N209" s="150">
        <f>SUM(N202:N208)</f>
        <v>0</v>
      </c>
      <c r="O209" s="17" t="e">
        <f>N209/$N$127</f>
        <v>#DIV/0!</v>
      </c>
      <c r="P209" s="16"/>
      <c r="Q209" s="15">
        <f>SUM(Q202:Q206)</f>
        <v>0</v>
      </c>
      <c r="R209" s="50"/>
    </row>
    <row r="210" spans="1:47" x14ac:dyDescent="0.25">
      <c r="A210" s="1"/>
      <c r="B210" s="1"/>
      <c r="C210" s="1"/>
      <c r="D210" s="1"/>
      <c r="E210" s="1"/>
      <c r="F210" s="1"/>
      <c r="G210" s="44"/>
      <c r="H210" s="43"/>
      <c r="I210" s="42"/>
      <c r="J210" s="42"/>
      <c r="K210" s="42"/>
      <c r="L210" s="43"/>
      <c r="M210" s="1"/>
      <c r="N210" s="42"/>
      <c r="O210" s="1"/>
      <c r="P210" s="18"/>
      <c r="Q210" s="1"/>
      <c r="R210" s="1"/>
    </row>
    <row r="211" spans="1:47" ht="58.9" customHeight="1" x14ac:dyDescent="0.25">
      <c r="B211" s="122" t="s">
        <v>191</v>
      </c>
      <c r="C211" s="25" t="s">
        <v>95</v>
      </c>
      <c r="D211" s="25" t="s">
        <v>178</v>
      </c>
      <c r="E211" s="25" t="s">
        <v>190</v>
      </c>
      <c r="F211" s="27"/>
      <c r="G211" s="26" t="s">
        <v>189</v>
      </c>
      <c r="H211" s="135"/>
      <c r="I211" s="142" t="s">
        <v>4</v>
      </c>
      <c r="J211" s="143">
        <f>[1]Données!K19</f>
        <v>6</v>
      </c>
      <c r="K211" s="148">
        <f t="shared" ref="K211:K219" si="29">H211*J211</f>
        <v>0</v>
      </c>
      <c r="L211" s="159">
        <v>0</v>
      </c>
      <c r="M211" s="24">
        <f t="shared" ref="M211:M219" si="30">(J211*L211+J211)</f>
        <v>6</v>
      </c>
      <c r="N211" s="158">
        <f t="shared" ref="N211:N219" si="31">K211+K211*L211</f>
        <v>0</v>
      </c>
      <c r="O211" s="22"/>
      <c r="P211" s="21">
        <v>0</v>
      </c>
      <c r="Q211" s="20">
        <f t="shared" ref="Q211:Q219" si="32">P211*J211</f>
        <v>0</v>
      </c>
      <c r="R211" s="19"/>
    </row>
    <row r="212" spans="1:47" x14ac:dyDescent="0.25">
      <c r="B212" s="122"/>
      <c r="C212" s="25" t="s">
        <v>95</v>
      </c>
      <c r="D212" s="25" t="s">
        <v>178</v>
      </c>
      <c r="E212" s="25" t="s">
        <v>185</v>
      </c>
      <c r="F212" s="27"/>
      <c r="G212" s="26" t="s">
        <v>188</v>
      </c>
      <c r="H212" s="135"/>
      <c r="I212" s="142" t="s">
        <v>4</v>
      </c>
      <c r="J212" s="143">
        <f>[1]Données!K20</f>
        <v>0</v>
      </c>
      <c r="K212" s="148">
        <f t="shared" si="29"/>
        <v>0</v>
      </c>
      <c r="L212" s="159">
        <v>0</v>
      </c>
      <c r="M212" s="24">
        <f t="shared" si="30"/>
        <v>0</v>
      </c>
      <c r="N212" s="158">
        <f t="shared" si="31"/>
        <v>0</v>
      </c>
      <c r="O212" s="22"/>
      <c r="P212" s="21">
        <v>0</v>
      </c>
      <c r="Q212" s="20">
        <f t="shared" si="32"/>
        <v>0</v>
      </c>
      <c r="R212" s="19"/>
    </row>
    <row r="213" spans="1:47" ht="75" x14ac:dyDescent="0.25">
      <c r="B213" s="122"/>
      <c r="C213" s="25" t="s">
        <v>95</v>
      </c>
      <c r="D213" s="25" t="s">
        <v>178</v>
      </c>
      <c r="E213" s="25" t="s">
        <v>187</v>
      </c>
      <c r="F213" s="27"/>
      <c r="G213" s="26" t="s">
        <v>186</v>
      </c>
      <c r="H213" s="135"/>
      <c r="I213" s="142" t="s">
        <v>4</v>
      </c>
      <c r="J213" s="143">
        <f>[1]Données!K21</f>
        <v>0</v>
      </c>
      <c r="K213" s="148">
        <f t="shared" si="29"/>
        <v>0</v>
      </c>
      <c r="L213" s="159">
        <v>0</v>
      </c>
      <c r="M213" s="24">
        <f t="shared" si="30"/>
        <v>0</v>
      </c>
      <c r="N213" s="158">
        <f t="shared" si="31"/>
        <v>0</v>
      </c>
      <c r="O213" s="22"/>
      <c r="P213" s="21">
        <v>0</v>
      </c>
      <c r="Q213" s="20">
        <f t="shared" si="32"/>
        <v>0</v>
      </c>
      <c r="R213" s="19"/>
    </row>
    <row r="214" spans="1:47" x14ac:dyDescent="0.25">
      <c r="B214" s="122"/>
      <c r="C214" s="25" t="s">
        <v>95</v>
      </c>
      <c r="D214" s="25" t="s">
        <v>178</v>
      </c>
      <c r="E214" s="25" t="s">
        <v>185</v>
      </c>
      <c r="F214" s="27"/>
      <c r="G214" s="26" t="s">
        <v>184</v>
      </c>
      <c r="H214" s="135"/>
      <c r="I214" s="142" t="s">
        <v>4</v>
      </c>
      <c r="J214" s="143">
        <f>[1]Données!K22</f>
        <v>0</v>
      </c>
      <c r="K214" s="148">
        <f t="shared" si="29"/>
        <v>0</v>
      </c>
      <c r="L214" s="159">
        <v>0</v>
      </c>
      <c r="M214" s="24">
        <f t="shared" si="30"/>
        <v>0</v>
      </c>
      <c r="N214" s="158">
        <f t="shared" si="31"/>
        <v>0</v>
      </c>
      <c r="O214" s="22"/>
      <c r="P214" s="21">
        <v>0</v>
      </c>
      <c r="Q214" s="20">
        <f t="shared" si="32"/>
        <v>0</v>
      </c>
      <c r="R214" s="19"/>
    </row>
    <row r="215" spans="1:47" ht="30" x14ac:dyDescent="0.25">
      <c r="B215" s="122"/>
      <c r="C215" s="25" t="s">
        <v>95</v>
      </c>
      <c r="D215" s="25" t="s">
        <v>178</v>
      </c>
      <c r="E215" s="25" t="s">
        <v>181</v>
      </c>
      <c r="F215" s="27"/>
      <c r="G215" s="26" t="s">
        <v>183</v>
      </c>
      <c r="H215" s="135"/>
      <c r="I215" s="142"/>
      <c r="J215" s="143">
        <f>[1]Données!K16+[1]Données!K17</f>
        <v>2</v>
      </c>
      <c r="K215" s="148">
        <f t="shared" si="29"/>
        <v>0</v>
      </c>
      <c r="L215" s="159">
        <v>0</v>
      </c>
      <c r="M215" s="24">
        <f t="shared" si="30"/>
        <v>2</v>
      </c>
      <c r="N215" s="158">
        <f t="shared" si="31"/>
        <v>0</v>
      </c>
      <c r="O215" s="22"/>
      <c r="P215" s="21">
        <v>0</v>
      </c>
      <c r="Q215" s="20">
        <f t="shared" si="32"/>
        <v>0</v>
      </c>
      <c r="R215" s="19"/>
    </row>
    <row r="216" spans="1:47" ht="30" x14ac:dyDescent="0.25">
      <c r="B216" s="122"/>
      <c r="C216" s="25" t="s">
        <v>95</v>
      </c>
      <c r="D216" s="25" t="s">
        <v>178</v>
      </c>
      <c r="E216" s="25" t="s">
        <v>181</v>
      </c>
      <c r="F216" s="27"/>
      <c r="G216" s="26" t="s">
        <v>182</v>
      </c>
      <c r="H216" s="135"/>
      <c r="I216" s="142"/>
      <c r="J216" s="143">
        <f>[1]Données!K15</f>
        <v>3</v>
      </c>
      <c r="K216" s="148">
        <f t="shared" si="29"/>
        <v>0</v>
      </c>
      <c r="L216" s="159">
        <v>0</v>
      </c>
      <c r="M216" s="24">
        <f t="shared" si="30"/>
        <v>3</v>
      </c>
      <c r="N216" s="158">
        <f t="shared" si="31"/>
        <v>0</v>
      </c>
      <c r="O216" s="22"/>
      <c r="P216" s="21">
        <v>0</v>
      </c>
      <c r="Q216" s="20">
        <f t="shared" si="32"/>
        <v>0</v>
      </c>
      <c r="R216" s="19"/>
    </row>
    <row r="217" spans="1:47" x14ac:dyDescent="0.25">
      <c r="B217" s="122"/>
      <c r="C217" s="25" t="s">
        <v>95</v>
      </c>
      <c r="D217" s="25" t="s">
        <v>178</v>
      </c>
      <c r="E217" s="25" t="s">
        <v>181</v>
      </c>
      <c r="F217" s="27"/>
      <c r="G217" s="26" t="s">
        <v>180</v>
      </c>
      <c r="H217" s="135"/>
      <c r="I217" s="142" t="s">
        <v>96</v>
      </c>
      <c r="J217" s="143">
        <f>SUM(J211:J214)</f>
        <v>6</v>
      </c>
      <c r="K217" s="148">
        <f t="shared" si="29"/>
        <v>0</v>
      </c>
      <c r="L217" s="159">
        <v>0</v>
      </c>
      <c r="M217" s="24">
        <f t="shared" si="30"/>
        <v>6</v>
      </c>
      <c r="N217" s="158">
        <f t="shared" si="31"/>
        <v>0</v>
      </c>
      <c r="O217" s="22"/>
      <c r="P217" s="21">
        <v>0</v>
      </c>
      <c r="Q217" s="20">
        <f t="shared" si="32"/>
        <v>0</v>
      </c>
      <c r="R217" s="19"/>
    </row>
    <row r="218" spans="1:47" x14ac:dyDescent="0.25">
      <c r="B218" s="122"/>
      <c r="C218" s="25" t="s">
        <v>95</v>
      </c>
      <c r="D218" s="25" t="s">
        <v>178</v>
      </c>
      <c r="E218" s="25" t="s">
        <v>177</v>
      </c>
      <c r="F218" s="27"/>
      <c r="G218" s="26" t="s">
        <v>179</v>
      </c>
      <c r="H218" s="135"/>
      <c r="I218" s="142" t="s">
        <v>4</v>
      </c>
      <c r="J218" s="143">
        <f>SUM(J211:J214)</f>
        <v>6</v>
      </c>
      <c r="K218" s="148">
        <f t="shared" si="29"/>
        <v>0</v>
      </c>
      <c r="L218" s="159">
        <v>0</v>
      </c>
      <c r="M218" s="24">
        <f t="shared" si="30"/>
        <v>6</v>
      </c>
      <c r="N218" s="158">
        <f t="shared" si="31"/>
        <v>0</v>
      </c>
      <c r="O218" s="22"/>
      <c r="P218" s="21">
        <v>0</v>
      </c>
      <c r="Q218" s="20">
        <f t="shared" si="32"/>
        <v>0</v>
      </c>
      <c r="R218" s="19"/>
    </row>
    <row r="219" spans="1:47" x14ac:dyDescent="0.25">
      <c r="B219" s="122"/>
      <c r="C219" s="25" t="s">
        <v>95</v>
      </c>
      <c r="D219" s="25" t="s">
        <v>178</v>
      </c>
      <c r="E219" s="25" t="s">
        <v>177</v>
      </c>
      <c r="F219" s="27"/>
      <c r="G219" s="26"/>
      <c r="H219" s="139"/>
      <c r="I219" s="142" t="s">
        <v>4</v>
      </c>
      <c r="J219" s="143"/>
      <c r="K219" s="148">
        <f t="shared" si="29"/>
        <v>0</v>
      </c>
      <c r="L219" s="159">
        <v>0</v>
      </c>
      <c r="M219" s="24">
        <f t="shared" si="30"/>
        <v>0</v>
      </c>
      <c r="N219" s="158">
        <f t="shared" si="31"/>
        <v>0</v>
      </c>
      <c r="O219" s="22"/>
      <c r="P219" s="21">
        <v>0</v>
      </c>
      <c r="Q219" s="20">
        <f t="shared" si="32"/>
        <v>0</v>
      </c>
      <c r="R219" s="19"/>
    </row>
    <row r="220" spans="1:47" ht="17.25" x14ac:dyDescent="0.3">
      <c r="H220" s="39"/>
      <c r="J220" s="4"/>
      <c r="L220" s="39"/>
      <c r="M220" s="6"/>
      <c r="N220" s="150">
        <f>SUM(N211:N219)</f>
        <v>0</v>
      </c>
      <c r="O220" s="17" t="e">
        <f>N220/$N$127</f>
        <v>#DIV/0!</v>
      </c>
      <c r="P220" s="16"/>
      <c r="Q220" s="15">
        <f>SUM(Q217:Q218)</f>
        <v>0</v>
      </c>
    </row>
    <row r="221" spans="1:47" ht="15.95" customHeight="1" x14ac:dyDescent="0.25">
      <c r="B221" s="1"/>
      <c r="C221" s="1"/>
      <c r="D221" s="1"/>
      <c r="E221" s="1"/>
      <c r="F221" s="1"/>
      <c r="G221" s="44"/>
      <c r="H221" s="43"/>
      <c r="I221" s="42"/>
      <c r="J221" s="42"/>
      <c r="K221" s="42"/>
      <c r="L221" s="43"/>
      <c r="M221" s="1"/>
      <c r="N221" s="42"/>
      <c r="O221" s="1"/>
      <c r="P221" s="18"/>
      <c r="Q221" s="1"/>
      <c r="R221" s="1"/>
    </row>
    <row r="222" spans="1:47" ht="13.9" customHeight="1" x14ac:dyDescent="0.25">
      <c r="A222" s="1"/>
      <c r="B222" s="122" t="s">
        <v>153</v>
      </c>
      <c r="C222" s="25" t="s">
        <v>153</v>
      </c>
      <c r="D222" s="25" t="s">
        <v>160</v>
      </c>
      <c r="E222" s="25" t="s">
        <v>176</v>
      </c>
      <c r="F222" s="27"/>
      <c r="G222" s="26" t="s">
        <v>175</v>
      </c>
      <c r="H222" s="135"/>
      <c r="I222" s="142" t="s">
        <v>44</v>
      </c>
      <c r="J222" s="143" t="e">
        <f>SUMIF([1]Données!$J$31:$K$39,$G222,[1]Données!$K$31:$K$39)</f>
        <v>#VALUE!</v>
      </c>
      <c r="K222" s="148" t="e">
        <f t="shared" ref="K222:K233" si="33">H222*J222</f>
        <v>#VALUE!</v>
      </c>
      <c r="L222" s="159">
        <v>0.15</v>
      </c>
      <c r="M222" s="24" t="e">
        <f t="shared" ref="M222:M233" si="34">(J222*L222+J222)</f>
        <v>#VALUE!</v>
      </c>
      <c r="N222" s="158"/>
      <c r="O222" s="22"/>
      <c r="P222" s="21">
        <v>0</v>
      </c>
      <c r="Q222" s="20" t="e">
        <f t="shared" ref="Q222:Q233" si="35">P222*J222</f>
        <v>#VALUE!</v>
      </c>
      <c r="R222" s="19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x14ac:dyDescent="0.25">
      <c r="B223" s="122"/>
      <c r="C223" s="25" t="s">
        <v>153</v>
      </c>
      <c r="D223" s="25" t="s">
        <v>160</v>
      </c>
      <c r="E223" s="25" t="s">
        <v>174</v>
      </c>
      <c r="F223" s="27"/>
      <c r="G223" s="26" t="s">
        <v>174</v>
      </c>
      <c r="H223" s="135"/>
      <c r="I223" s="142" t="s">
        <v>44</v>
      </c>
      <c r="J223" s="143" t="e">
        <f>SUMIF([1]Données!$J$31:$K$39,$G223,[1]Données!$K$31:$K$39)</f>
        <v>#VALUE!</v>
      </c>
      <c r="K223" s="148" t="e">
        <f t="shared" si="33"/>
        <v>#VALUE!</v>
      </c>
      <c r="L223" s="159">
        <v>0.15</v>
      </c>
      <c r="M223" s="24" t="e">
        <f t="shared" si="34"/>
        <v>#VALUE!</v>
      </c>
      <c r="N223" s="158"/>
      <c r="O223" s="22"/>
      <c r="P223" s="21">
        <v>0</v>
      </c>
      <c r="Q223" s="20" t="e">
        <f t="shared" si="35"/>
        <v>#VALUE!</v>
      </c>
      <c r="R223" s="19"/>
    </row>
    <row r="224" spans="1:47" x14ac:dyDescent="0.25">
      <c r="B224" s="122"/>
      <c r="C224" s="25" t="s">
        <v>153</v>
      </c>
      <c r="D224" s="25" t="s">
        <v>160</v>
      </c>
      <c r="E224" s="25" t="s">
        <v>171</v>
      </c>
      <c r="F224" s="27"/>
      <c r="G224" s="26" t="s">
        <v>173</v>
      </c>
      <c r="H224" s="135"/>
      <c r="I224" s="142" t="s">
        <v>44</v>
      </c>
      <c r="J224" s="143" t="e">
        <f>SUMIF([1]Données!$J$31:$K$39,$G224,[1]Données!$K$31:$K$39)</f>
        <v>#VALUE!</v>
      </c>
      <c r="K224" s="148" t="e">
        <f t="shared" si="33"/>
        <v>#VALUE!</v>
      </c>
      <c r="L224" s="159">
        <v>0.15</v>
      </c>
      <c r="M224" s="24" t="e">
        <f t="shared" si="34"/>
        <v>#VALUE!</v>
      </c>
      <c r="N224" s="158"/>
      <c r="O224" s="22"/>
      <c r="P224" s="21">
        <v>0</v>
      </c>
      <c r="Q224" s="20" t="e">
        <f t="shared" si="35"/>
        <v>#VALUE!</v>
      </c>
      <c r="R224" s="19"/>
    </row>
    <row r="225" spans="2:18" ht="30" x14ac:dyDescent="0.25">
      <c r="B225" s="122"/>
      <c r="C225" s="25" t="s">
        <v>153</v>
      </c>
      <c r="D225" s="25" t="s">
        <v>160</v>
      </c>
      <c r="E225" s="25" t="s">
        <v>171</v>
      </c>
      <c r="F225" s="27"/>
      <c r="G225" s="26" t="s">
        <v>172</v>
      </c>
      <c r="H225" s="135"/>
      <c r="I225" s="142" t="s">
        <v>44</v>
      </c>
      <c r="J225" s="143" t="e">
        <f>SUMIF([1]Données!$J$31:$K$39,$G225,[1]Données!$K$31:$K$39)</f>
        <v>#VALUE!</v>
      </c>
      <c r="K225" s="148" t="e">
        <f t="shared" si="33"/>
        <v>#VALUE!</v>
      </c>
      <c r="L225" s="159">
        <v>0</v>
      </c>
      <c r="M225" s="24" t="e">
        <f t="shared" si="34"/>
        <v>#VALUE!</v>
      </c>
      <c r="N225" s="158"/>
      <c r="O225" s="22"/>
      <c r="P225" s="21">
        <v>0</v>
      </c>
      <c r="Q225" s="20" t="e">
        <f t="shared" si="35"/>
        <v>#VALUE!</v>
      </c>
      <c r="R225" s="19"/>
    </row>
    <row r="226" spans="2:18" x14ac:dyDescent="0.25">
      <c r="B226" s="122"/>
      <c r="C226" s="25" t="s">
        <v>153</v>
      </c>
      <c r="D226" s="25" t="s">
        <v>160</v>
      </c>
      <c r="E226" s="25" t="s">
        <v>171</v>
      </c>
      <c r="F226" s="27"/>
      <c r="G226" s="26" t="s">
        <v>170</v>
      </c>
      <c r="H226" s="135"/>
      <c r="I226" s="142" t="s">
        <v>44</v>
      </c>
      <c r="J226" s="143" t="e">
        <f>SUMIF([1]Données!$J$31:$K$39,$G226,[1]Données!$K$31:$K$39)</f>
        <v>#VALUE!</v>
      </c>
      <c r="K226" s="148" t="e">
        <f t="shared" si="33"/>
        <v>#VALUE!</v>
      </c>
      <c r="L226" s="159">
        <v>0</v>
      </c>
      <c r="M226" s="24" t="e">
        <f t="shared" si="34"/>
        <v>#VALUE!</v>
      </c>
      <c r="N226" s="158"/>
      <c r="O226" s="22"/>
      <c r="P226" s="21">
        <v>0</v>
      </c>
      <c r="Q226" s="20" t="e">
        <f t="shared" si="35"/>
        <v>#VALUE!</v>
      </c>
      <c r="R226" s="19"/>
    </row>
    <row r="227" spans="2:18" x14ac:dyDescent="0.25">
      <c r="B227" s="122"/>
      <c r="C227" s="25" t="s">
        <v>153</v>
      </c>
      <c r="D227" s="25" t="s">
        <v>160</v>
      </c>
      <c r="E227" s="25" t="s">
        <v>169</v>
      </c>
      <c r="F227" s="27"/>
      <c r="G227" s="26" t="s">
        <v>164</v>
      </c>
      <c r="H227" s="135"/>
      <c r="I227" s="142" t="s">
        <v>4</v>
      </c>
      <c r="J227" s="143" t="e">
        <f>IF(SUM(J225:J226)=0,([1]Données!K25+[1]Données!K26*2)/2.2,0)</f>
        <v>#VALUE!</v>
      </c>
      <c r="K227" s="148" t="e">
        <f t="shared" si="33"/>
        <v>#VALUE!</v>
      </c>
      <c r="L227" s="159">
        <v>0.1</v>
      </c>
      <c r="M227" s="24" t="e">
        <f t="shared" si="34"/>
        <v>#VALUE!</v>
      </c>
      <c r="N227" s="158"/>
      <c r="O227" s="22"/>
      <c r="P227" s="21">
        <v>0</v>
      </c>
      <c r="Q227" s="20" t="e">
        <f t="shared" si="35"/>
        <v>#VALUE!</v>
      </c>
      <c r="R227" s="19"/>
    </row>
    <row r="228" spans="2:18" x14ac:dyDescent="0.25">
      <c r="B228" s="122"/>
      <c r="C228" s="25" t="s">
        <v>153</v>
      </c>
      <c r="D228" s="25" t="s">
        <v>160</v>
      </c>
      <c r="E228" s="25" t="s">
        <v>168</v>
      </c>
      <c r="F228" s="27"/>
      <c r="G228" s="26" t="s">
        <v>167</v>
      </c>
      <c r="H228" s="135"/>
      <c r="I228" s="142" t="s">
        <v>44</v>
      </c>
      <c r="J228" s="143" t="e">
        <f>J222</f>
        <v>#VALUE!</v>
      </c>
      <c r="K228" s="148" t="e">
        <f t="shared" si="33"/>
        <v>#VALUE!</v>
      </c>
      <c r="L228" s="159">
        <v>0.15</v>
      </c>
      <c r="M228" s="24" t="e">
        <f t="shared" si="34"/>
        <v>#VALUE!</v>
      </c>
      <c r="N228" s="158"/>
      <c r="O228" s="22"/>
      <c r="P228" s="21">
        <v>0</v>
      </c>
      <c r="Q228" s="20" t="e">
        <f t="shared" si="35"/>
        <v>#VALUE!</v>
      </c>
      <c r="R228" s="19"/>
    </row>
    <row r="229" spans="2:18" x14ac:dyDescent="0.25">
      <c r="B229" s="122"/>
      <c r="C229" s="25" t="s">
        <v>153</v>
      </c>
      <c r="D229" s="25" t="s">
        <v>160</v>
      </c>
      <c r="E229" s="25" t="s">
        <v>166</v>
      </c>
      <c r="F229" s="27"/>
      <c r="G229" s="26" t="s">
        <v>164</v>
      </c>
      <c r="H229" s="135"/>
      <c r="I229" s="142" t="s">
        <v>163</v>
      </c>
      <c r="J229" s="164">
        <v>0</v>
      </c>
      <c r="K229" s="148">
        <f t="shared" si="33"/>
        <v>0</v>
      </c>
      <c r="L229" s="159">
        <v>0</v>
      </c>
      <c r="M229" s="24">
        <f t="shared" si="34"/>
        <v>0</v>
      </c>
      <c r="N229" s="158"/>
      <c r="O229" s="22"/>
      <c r="P229" s="21">
        <v>0</v>
      </c>
      <c r="Q229" s="20">
        <f t="shared" si="35"/>
        <v>0</v>
      </c>
      <c r="R229" s="19"/>
    </row>
    <row r="230" spans="2:18" x14ac:dyDescent="0.25">
      <c r="B230" s="122"/>
      <c r="C230" s="25" t="s">
        <v>153</v>
      </c>
      <c r="D230" s="25" t="s">
        <v>160</v>
      </c>
      <c r="E230" s="25" t="s">
        <v>165</v>
      </c>
      <c r="F230" s="27"/>
      <c r="G230" s="26" t="s">
        <v>164</v>
      </c>
      <c r="H230" s="135"/>
      <c r="I230" s="142" t="s">
        <v>163</v>
      </c>
      <c r="J230" s="164">
        <v>0</v>
      </c>
      <c r="K230" s="148">
        <f t="shared" si="33"/>
        <v>0</v>
      </c>
      <c r="L230" s="159">
        <v>0</v>
      </c>
      <c r="M230" s="24">
        <f t="shared" si="34"/>
        <v>0</v>
      </c>
      <c r="N230" s="158"/>
      <c r="O230" s="22"/>
      <c r="P230" s="21">
        <v>0</v>
      </c>
      <c r="Q230" s="20">
        <f t="shared" si="35"/>
        <v>0</v>
      </c>
      <c r="R230" s="19"/>
    </row>
    <row r="231" spans="2:18" x14ac:dyDescent="0.25">
      <c r="B231" s="122"/>
      <c r="C231" s="25" t="s">
        <v>153</v>
      </c>
      <c r="D231" s="25" t="s">
        <v>160</v>
      </c>
      <c r="E231" s="25" t="s">
        <v>159</v>
      </c>
      <c r="F231" s="27"/>
      <c r="G231" s="26" t="s">
        <v>162</v>
      </c>
      <c r="H231" s="135"/>
      <c r="I231" s="142"/>
      <c r="J231" s="143" t="e">
        <f>J222</f>
        <v>#VALUE!</v>
      </c>
      <c r="K231" s="148" t="e">
        <f t="shared" si="33"/>
        <v>#VALUE!</v>
      </c>
      <c r="L231" s="159">
        <v>0</v>
      </c>
      <c r="M231" s="24" t="e">
        <f t="shared" si="34"/>
        <v>#VALUE!</v>
      </c>
      <c r="N231" s="158"/>
      <c r="O231" s="22"/>
      <c r="P231" s="21">
        <v>0</v>
      </c>
      <c r="Q231" s="20" t="e">
        <f t="shared" si="35"/>
        <v>#VALUE!</v>
      </c>
      <c r="R231" s="19"/>
    </row>
    <row r="232" spans="2:18" x14ac:dyDescent="0.25">
      <c r="B232" s="122"/>
      <c r="C232" s="25" t="s">
        <v>153</v>
      </c>
      <c r="D232" s="25" t="s">
        <v>160</v>
      </c>
      <c r="E232" s="25" t="s">
        <v>159</v>
      </c>
      <c r="F232" s="27"/>
      <c r="G232" s="26" t="s">
        <v>161</v>
      </c>
      <c r="H232" s="135"/>
      <c r="I232" s="142"/>
      <c r="J232" s="143" t="e">
        <f>J223</f>
        <v>#VALUE!</v>
      </c>
      <c r="K232" s="148" t="e">
        <f t="shared" si="33"/>
        <v>#VALUE!</v>
      </c>
      <c r="L232" s="159">
        <v>0</v>
      </c>
      <c r="M232" s="24" t="e">
        <f t="shared" si="34"/>
        <v>#VALUE!</v>
      </c>
      <c r="N232" s="158"/>
      <c r="O232" s="22"/>
      <c r="P232" s="21">
        <v>0</v>
      </c>
      <c r="Q232" s="20" t="e">
        <f t="shared" si="35"/>
        <v>#VALUE!</v>
      </c>
      <c r="R232" s="19"/>
    </row>
    <row r="233" spans="2:18" x14ac:dyDescent="0.25">
      <c r="B233" s="122"/>
      <c r="C233" s="25" t="s">
        <v>153</v>
      </c>
      <c r="D233" s="25" t="s">
        <v>160</v>
      </c>
      <c r="E233" s="25" t="s">
        <v>159</v>
      </c>
      <c r="F233" s="27"/>
      <c r="G233" s="26" t="s">
        <v>158</v>
      </c>
      <c r="H233" s="135"/>
      <c r="I233" s="142"/>
      <c r="J233" s="143" t="e">
        <f>J224</f>
        <v>#VALUE!</v>
      </c>
      <c r="K233" s="148" t="e">
        <f t="shared" si="33"/>
        <v>#VALUE!</v>
      </c>
      <c r="L233" s="159">
        <v>0</v>
      </c>
      <c r="M233" s="24" t="e">
        <f t="shared" si="34"/>
        <v>#VALUE!</v>
      </c>
      <c r="N233" s="158"/>
      <c r="O233" s="22"/>
      <c r="P233" s="21">
        <v>0</v>
      </c>
      <c r="Q233" s="20" t="e">
        <f t="shared" si="35"/>
        <v>#VALUE!</v>
      </c>
      <c r="R233" s="19"/>
    </row>
    <row r="234" spans="2:18" ht="17.25" x14ac:dyDescent="0.3">
      <c r="H234" s="39"/>
      <c r="J234" s="4"/>
      <c r="L234" s="39"/>
      <c r="N234" s="150"/>
      <c r="O234" s="17" t="e">
        <f>N234/$N$127</f>
        <v>#DIV/0!</v>
      </c>
      <c r="P234" s="16"/>
      <c r="Q234" s="15" t="e">
        <f>SUM(Q230:Q233)</f>
        <v>#VALUE!</v>
      </c>
    </row>
    <row r="235" spans="2:18" x14ac:dyDescent="0.25">
      <c r="B235" s="1"/>
      <c r="C235" s="1"/>
      <c r="D235" s="1"/>
      <c r="E235" s="1"/>
      <c r="F235" s="1"/>
      <c r="G235" s="44"/>
      <c r="H235" s="43"/>
      <c r="I235" s="42"/>
      <c r="J235" s="42"/>
      <c r="K235" s="42"/>
      <c r="L235" s="43"/>
      <c r="M235" s="1"/>
      <c r="N235" s="42"/>
      <c r="O235" s="1"/>
      <c r="P235" s="18"/>
      <c r="Q235" s="1"/>
      <c r="R235" s="1"/>
    </row>
    <row r="236" spans="2:18" ht="13.9" customHeight="1" x14ac:dyDescent="0.25">
      <c r="B236" s="122" t="s">
        <v>154</v>
      </c>
      <c r="C236" s="25" t="s">
        <v>153</v>
      </c>
      <c r="D236" s="25" t="s">
        <v>156</v>
      </c>
      <c r="E236" s="25" t="s">
        <v>151</v>
      </c>
      <c r="F236" s="27"/>
      <c r="G236" s="26" t="s">
        <v>157</v>
      </c>
      <c r="H236" s="135"/>
      <c r="I236" s="142" t="s">
        <v>149</v>
      </c>
      <c r="J236" s="143">
        <f>IF([1]Données!$J$30=G236,[1]Données!$K$30,0)</f>
        <v>0</v>
      </c>
      <c r="K236" s="148">
        <f>J236*H236</f>
        <v>0</v>
      </c>
      <c r="L236" s="159">
        <v>0.1</v>
      </c>
      <c r="M236" s="24">
        <f>(J236*L236+J236)</f>
        <v>0</v>
      </c>
      <c r="N236" s="158"/>
      <c r="O236" s="1"/>
      <c r="P236" s="21">
        <v>0</v>
      </c>
      <c r="Q236" s="20">
        <f>P236*J236</f>
        <v>0</v>
      </c>
      <c r="R236" s="19"/>
    </row>
    <row r="237" spans="2:18" x14ac:dyDescent="0.25">
      <c r="B237" s="122" t="s">
        <v>154</v>
      </c>
      <c r="C237" s="25" t="s">
        <v>153</v>
      </c>
      <c r="D237" s="25" t="s">
        <v>156</v>
      </c>
      <c r="E237" s="25" t="s">
        <v>151</v>
      </c>
      <c r="F237" s="27"/>
      <c r="G237" s="26" t="s">
        <v>155</v>
      </c>
      <c r="H237" s="135"/>
      <c r="I237" s="142" t="s">
        <v>149</v>
      </c>
      <c r="J237" s="143">
        <f>IF([1]Données!$J$30=G237,[1]Données!$K$30,0)</f>
        <v>0</v>
      </c>
      <c r="K237" s="148">
        <f>J237*H237</f>
        <v>0</v>
      </c>
      <c r="L237" s="159">
        <v>0.1</v>
      </c>
      <c r="M237" s="24">
        <f>(J237*L237+J237)</f>
        <v>0</v>
      </c>
      <c r="N237" s="158"/>
      <c r="O237" s="1"/>
      <c r="P237" s="21">
        <v>0</v>
      </c>
      <c r="Q237" s="20">
        <f>P237*J237</f>
        <v>0</v>
      </c>
      <c r="R237" s="19"/>
    </row>
    <row r="238" spans="2:18" x14ac:dyDescent="0.25">
      <c r="B238" s="122" t="s">
        <v>154</v>
      </c>
      <c r="C238" s="25" t="s">
        <v>153</v>
      </c>
      <c r="D238" s="25" t="s">
        <v>152</v>
      </c>
      <c r="E238" s="25" t="s">
        <v>151</v>
      </c>
      <c r="F238" s="27"/>
      <c r="G238" s="26" t="s">
        <v>150</v>
      </c>
      <c r="H238" s="135"/>
      <c r="I238" s="142" t="s">
        <v>149</v>
      </c>
      <c r="J238" s="143">
        <f>IF([1]Données!$J$30=G238,[1]Données!$K$30,0)</f>
        <v>375.32499999999999</v>
      </c>
      <c r="K238" s="148">
        <f>J238*H238</f>
        <v>0</v>
      </c>
      <c r="L238" s="159">
        <v>0</v>
      </c>
      <c r="M238" s="24">
        <f>(J238*L238+J238)</f>
        <v>375.32499999999999</v>
      </c>
      <c r="N238" s="158"/>
      <c r="O238" s="22"/>
      <c r="P238" s="21">
        <v>0</v>
      </c>
      <c r="Q238" s="20">
        <f>P238*J238</f>
        <v>0</v>
      </c>
      <c r="R238" s="19"/>
    </row>
    <row r="239" spans="2:18" ht="17.25" x14ac:dyDescent="0.3">
      <c r="H239" s="39"/>
      <c r="J239" s="4"/>
      <c r="L239" s="39"/>
      <c r="N239" s="150"/>
      <c r="O239" s="17" t="e">
        <f>N239/$N$127</f>
        <v>#DIV/0!</v>
      </c>
      <c r="P239" s="16"/>
      <c r="Q239" s="15">
        <f>SUM(Q238)</f>
        <v>0</v>
      </c>
    </row>
    <row r="240" spans="2:18" x14ac:dyDescent="0.25">
      <c r="B240" s="1"/>
      <c r="C240" s="1"/>
      <c r="D240" s="1"/>
      <c r="E240" s="1"/>
      <c r="F240" s="1"/>
      <c r="G240" s="44"/>
      <c r="H240" s="43"/>
      <c r="I240" s="42"/>
      <c r="J240" s="42"/>
      <c r="K240" s="42"/>
      <c r="L240" s="43"/>
      <c r="M240" s="1"/>
      <c r="N240" s="42"/>
      <c r="O240" s="1"/>
      <c r="P240" s="18"/>
      <c r="Q240" s="1"/>
      <c r="R240" s="1"/>
    </row>
    <row r="241" spans="2:18" ht="24.75" customHeight="1" x14ac:dyDescent="0.25">
      <c r="B241" s="122" t="s">
        <v>144</v>
      </c>
      <c r="C241" s="28" t="s">
        <v>144</v>
      </c>
      <c r="D241" s="25" t="s">
        <v>148</v>
      </c>
      <c r="E241" s="25" t="s">
        <v>142</v>
      </c>
      <c r="F241" s="27"/>
      <c r="G241" s="26" t="str">
        <f t="shared" ref="G241:G262" si="36">CONCATENATE("Instalation ",G362)</f>
        <v>Instalation Ballon eau chaude 200L thermodynamique</v>
      </c>
      <c r="H241" s="135"/>
      <c r="I241" s="142" t="s">
        <v>4</v>
      </c>
      <c r="J241" s="143">
        <f t="shared" ref="J241:J262" si="37">J362</f>
        <v>0</v>
      </c>
      <c r="K241" s="148">
        <f t="shared" ref="K241:K265" si="38">+J241*H241</f>
        <v>0</v>
      </c>
      <c r="L241" s="159">
        <v>0</v>
      </c>
      <c r="M241" s="24">
        <f t="shared" ref="M241:M265" si="39">(J241*L241+J241)</f>
        <v>0</v>
      </c>
      <c r="N241" s="158"/>
      <c r="O241" s="22"/>
      <c r="P241" s="21">
        <v>0</v>
      </c>
      <c r="Q241" s="20">
        <f t="shared" ref="Q241:Q265" si="40">P241*J241</f>
        <v>0</v>
      </c>
      <c r="R241" s="19"/>
    </row>
    <row r="242" spans="2:18" ht="45" x14ac:dyDescent="0.25">
      <c r="B242" s="122"/>
      <c r="C242" s="28" t="s">
        <v>144</v>
      </c>
      <c r="D242" s="25" t="s">
        <v>148</v>
      </c>
      <c r="E242" s="25" t="s">
        <v>142</v>
      </c>
      <c r="F242" s="27"/>
      <c r="G242" s="26" t="str">
        <f t="shared" si="36"/>
        <v>Instalation Vasques sur meuble de 80 cm avec miroir et bandeau lumineux à choisir dans notre gamme</v>
      </c>
      <c r="H242" s="135"/>
      <c r="I242" s="142" t="s">
        <v>4</v>
      </c>
      <c r="J242" s="143">
        <f t="shared" si="37"/>
        <v>0</v>
      </c>
      <c r="K242" s="148">
        <f t="shared" si="38"/>
        <v>0</v>
      </c>
      <c r="L242" s="159">
        <v>0</v>
      </c>
      <c r="M242" s="24">
        <f t="shared" si="39"/>
        <v>0</v>
      </c>
      <c r="N242" s="158"/>
      <c r="O242" s="22"/>
      <c r="P242" s="21">
        <v>0</v>
      </c>
      <c r="Q242" s="20">
        <f t="shared" si="40"/>
        <v>0</v>
      </c>
      <c r="R242" s="19"/>
    </row>
    <row r="243" spans="2:18" x14ac:dyDescent="0.25">
      <c r="B243" s="122"/>
      <c r="C243" s="28" t="s">
        <v>144</v>
      </c>
      <c r="D243" s="25" t="s">
        <v>148</v>
      </c>
      <c r="E243" s="25" t="s">
        <v>142</v>
      </c>
      <c r="F243" s="27"/>
      <c r="G243" s="26" t="str">
        <f t="shared" si="36"/>
        <v xml:space="preserve">Instalation </v>
      </c>
      <c r="H243" s="135"/>
      <c r="I243" s="142" t="s">
        <v>4</v>
      </c>
      <c r="J243" s="143">
        <f t="shared" si="37"/>
        <v>0</v>
      </c>
      <c r="K243" s="148">
        <f t="shared" si="38"/>
        <v>0</v>
      </c>
      <c r="L243" s="159">
        <v>0</v>
      </c>
      <c r="M243" s="24">
        <f t="shared" si="39"/>
        <v>0</v>
      </c>
      <c r="N243" s="158"/>
      <c r="O243" s="22"/>
      <c r="P243" s="21">
        <v>0</v>
      </c>
      <c r="Q243" s="20">
        <f t="shared" si="40"/>
        <v>0</v>
      </c>
      <c r="R243" s="19"/>
    </row>
    <row r="244" spans="2:18" x14ac:dyDescent="0.25">
      <c r="B244" s="122"/>
      <c r="C244" s="28" t="s">
        <v>144</v>
      </c>
      <c r="D244" s="25" t="s">
        <v>148</v>
      </c>
      <c r="E244" s="25" t="s">
        <v>142</v>
      </c>
      <c r="F244" s="27"/>
      <c r="G244" s="26" t="str">
        <f t="shared" si="36"/>
        <v>Instalation Mitigeur lavabo BAULOOP</v>
      </c>
      <c r="H244" s="135"/>
      <c r="I244" s="142" t="s">
        <v>4</v>
      </c>
      <c r="J244" s="143">
        <f t="shared" si="37"/>
        <v>0</v>
      </c>
      <c r="K244" s="148">
        <f t="shared" si="38"/>
        <v>0</v>
      </c>
      <c r="L244" s="159">
        <v>0</v>
      </c>
      <c r="M244" s="24">
        <f t="shared" si="39"/>
        <v>0</v>
      </c>
      <c r="N244" s="158"/>
      <c r="O244" s="22"/>
      <c r="P244" s="21">
        <v>0</v>
      </c>
      <c r="Q244" s="20">
        <f t="shared" si="40"/>
        <v>0</v>
      </c>
      <c r="R244" s="19"/>
    </row>
    <row r="245" spans="2:18" x14ac:dyDescent="0.25">
      <c r="B245" s="122"/>
      <c r="C245" s="28" t="s">
        <v>144</v>
      </c>
      <c r="D245" s="25" t="s">
        <v>148</v>
      </c>
      <c r="E245" s="25" t="s">
        <v>142</v>
      </c>
      <c r="F245" s="27"/>
      <c r="G245" s="26" t="str">
        <f t="shared" si="36"/>
        <v>Instalation Siphon lavabo</v>
      </c>
      <c r="H245" s="135"/>
      <c r="I245" s="142" t="s">
        <v>4</v>
      </c>
      <c r="J245" s="143">
        <f t="shared" si="37"/>
        <v>2</v>
      </c>
      <c r="K245" s="148">
        <f t="shared" si="38"/>
        <v>0</v>
      </c>
      <c r="L245" s="159">
        <v>0</v>
      </c>
      <c r="M245" s="24">
        <f t="shared" si="39"/>
        <v>2</v>
      </c>
      <c r="N245" s="158"/>
      <c r="O245" s="22"/>
      <c r="P245" s="21">
        <v>0</v>
      </c>
      <c r="Q245" s="20">
        <f t="shared" si="40"/>
        <v>0</v>
      </c>
      <c r="R245" s="19"/>
    </row>
    <row r="246" spans="2:18" ht="30" x14ac:dyDescent="0.25">
      <c r="B246" s="122"/>
      <c r="C246" s="28" t="s">
        <v>144</v>
      </c>
      <c r="D246" s="25" t="s">
        <v>148</v>
      </c>
      <c r="E246" s="25" t="s">
        <v>142</v>
      </c>
      <c r="F246" s="27"/>
      <c r="G246" s="26" t="str">
        <f t="shared" si="36"/>
        <v>Instalation Receveur extra plat 80x80 KINESURF</v>
      </c>
      <c r="H246" s="135"/>
      <c r="I246" s="142" t="s">
        <v>4</v>
      </c>
      <c r="J246" s="143">
        <f t="shared" si="37"/>
        <v>0</v>
      </c>
      <c r="K246" s="148">
        <f t="shared" si="38"/>
        <v>0</v>
      </c>
      <c r="L246" s="159">
        <v>0</v>
      </c>
      <c r="M246" s="24">
        <f t="shared" si="39"/>
        <v>0</v>
      </c>
      <c r="N246" s="158"/>
      <c r="O246" s="22"/>
      <c r="P246" s="21">
        <v>0</v>
      </c>
      <c r="Q246" s="20">
        <f t="shared" si="40"/>
        <v>0</v>
      </c>
      <c r="R246" s="19"/>
    </row>
    <row r="247" spans="2:18" ht="30" x14ac:dyDescent="0.25">
      <c r="B247" s="122"/>
      <c r="C247" s="28" t="s">
        <v>144</v>
      </c>
      <c r="D247" s="25" t="s">
        <v>148</v>
      </c>
      <c r="E247" s="25" t="s">
        <v>142</v>
      </c>
      <c r="F247" s="27"/>
      <c r="G247" s="26" t="str">
        <f t="shared" si="36"/>
        <v>Instalation Colonne de douche ADESIO ECO</v>
      </c>
      <c r="H247" s="135"/>
      <c r="I247" s="142" t="s">
        <v>4</v>
      </c>
      <c r="J247" s="143">
        <f t="shared" si="37"/>
        <v>1</v>
      </c>
      <c r="K247" s="148">
        <f t="shared" si="38"/>
        <v>0</v>
      </c>
      <c r="L247" s="159">
        <v>0</v>
      </c>
      <c r="M247" s="24">
        <f t="shared" si="39"/>
        <v>1</v>
      </c>
      <c r="N247" s="158"/>
      <c r="O247" s="22"/>
      <c r="P247" s="21">
        <v>0</v>
      </c>
      <c r="Q247" s="20">
        <f t="shared" si="40"/>
        <v>0</v>
      </c>
      <c r="R247" s="19"/>
    </row>
    <row r="248" spans="2:18" x14ac:dyDescent="0.25">
      <c r="B248" s="122"/>
      <c r="C248" s="28" t="s">
        <v>144</v>
      </c>
      <c r="D248" s="25" t="s">
        <v>148</v>
      </c>
      <c r="E248" s="25" t="s">
        <v>142</v>
      </c>
      <c r="F248" s="27"/>
      <c r="G248" s="26" t="str">
        <f t="shared" si="36"/>
        <v>Instalation Bonde de douche</v>
      </c>
      <c r="H248" s="135"/>
      <c r="I248" s="142" t="s">
        <v>4</v>
      </c>
      <c r="J248" s="143">
        <f t="shared" si="37"/>
        <v>1</v>
      </c>
      <c r="K248" s="148">
        <f t="shared" si="38"/>
        <v>0</v>
      </c>
      <c r="L248" s="159">
        <v>0</v>
      </c>
      <c r="M248" s="24">
        <f t="shared" si="39"/>
        <v>1</v>
      </c>
      <c r="N248" s="158"/>
      <c r="O248" s="22"/>
      <c r="P248" s="21">
        <v>0</v>
      </c>
      <c r="Q248" s="20">
        <f t="shared" si="40"/>
        <v>0</v>
      </c>
      <c r="R248" s="19"/>
    </row>
    <row r="249" spans="2:18" x14ac:dyDescent="0.25">
      <c r="B249" s="122"/>
      <c r="C249" s="28" t="s">
        <v>144</v>
      </c>
      <c r="D249" s="25" t="s">
        <v>148</v>
      </c>
      <c r="E249" s="25" t="s">
        <v>142</v>
      </c>
      <c r="F249" s="27"/>
      <c r="G249" s="26" t="str">
        <f t="shared" si="36"/>
        <v>Instalation Sèche serviette 500 W</v>
      </c>
      <c r="H249" s="135"/>
      <c r="I249" s="142" t="s">
        <v>4</v>
      </c>
      <c r="J249" s="143">
        <f t="shared" si="37"/>
        <v>1</v>
      </c>
      <c r="K249" s="148">
        <f t="shared" si="38"/>
        <v>0</v>
      </c>
      <c r="L249" s="159">
        <v>0</v>
      </c>
      <c r="M249" s="24">
        <f t="shared" si="39"/>
        <v>1</v>
      </c>
      <c r="N249" s="158"/>
      <c r="O249" s="22"/>
      <c r="P249" s="21">
        <v>0</v>
      </c>
      <c r="Q249" s="20">
        <f t="shared" si="40"/>
        <v>0</v>
      </c>
      <c r="R249" s="19"/>
    </row>
    <row r="250" spans="2:18" ht="30" x14ac:dyDescent="0.25">
      <c r="B250" s="122"/>
      <c r="C250" s="28" t="s">
        <v>144</v>
      </c>
      <c r="D250" s="25" t="s">
        <v>148</v>
      </c>
      <c r="E250" s="25" t="s">
        <v>142</v>
      </c>
      <c r="F250" s="27"/>
      <c r="G250" s="26" t="str">
        <f t="shared" si="36"/>
        <v>Instalation Double vasque  avec Robinetterie</v>
      </c>
      <c r="H250" s="135"/>
      <c r="I250" s="142" t="s">
        <v>4</v>
      </c>
      <c r="J250" s="143">
        <f t="shared" si="37"/>
        <v>1</v>
      </c>
      <c r="K250" s="148">
        <f t="shared" si="38"/>
        <v>0</v>
      </c>
      <c r="L250" s="159">
        <v>0</v>
      </c>
      <c r="M250" s="24">
        <f t="shared" si="39"/>
        <v>1</v>
      </c>
      <c r="N250" s="158"/>
      <c r="O250" s="22"/>
      <c r="P250" s="21">
        <v>0</v>
      </c>
      <c r="Q250" s="20">
        <f t="shared" si="40"/>
        <v>0</v>
      </c>
      <c r="R250" s="19"/>
    </row>
    <row r="251" spans="2:18" x14ac:dyDescent="0.25">
      <c r="B251" s="122"/>
      <c r="C251" s="28" t="s">
        <v>144</v>
      </c>
      <c r="D251" s="25" t="s">
        <v>148</v>
      </c>
      <c r="E251" s="25" t="s">
        <v>142</v>
      </c>
      <c r="F251" s="27"/>
      <c r="G251" s="26" t="str">
        <f t="shared" si="36"/>
        <v xml:space="preserve">Instalation Lave Main complet </v>
      </c>
      <c r="H251" s="135"/>
      <c r="I251" s="142" t="s">
        <v>4</v>
      </c>
      <c r="J251" s="143">
        <f t="shared" si="37"/>
        <v>0</v>
      </c>
      <c r="K251" s="148">
        <f t="shared" si="38"/>
        <v>0</v>
      </c>
      <c r="L251" s="159">
        <v>0</v>
      </c>
      <c r="M251" s="24">
        <f t="shared" si="39"/>
        <v>0</v>
      </c>
      <c r="N251" s="158"/>
      <c r="O251" s="22"/>
      <c r="P251" s="21">
        <v>0</v>
      </c>
      <c r="Q251" s="20">
        <f t="shared" si="40"/>
        <v>0</v>
      </c>
      <c r="R251" s="19"/>
    </row>
    <row r="252" spans="2:18" x14ac:dyDescent="0.25">
      <c r="B252" s="122"/>
      <c r="C252" s="28" t="s">
        <v>144</v>
      </c>
      <c r="D252" s="25" t="s">
        <v>148</v>
      </c>
      <c r="E252" s="25" t="s">
        <v>142</v>
      </c>
      <c r="F252" s="27"/>
      <c r="G252" s="26" t="str">
        <f t="shared" si="36"/>
        <v>Instalation RECEVEUR DE DOUCHE 80X120</v>
      </c>
      <c r="H252" s="135"/>
      <c r="I252" s="142" t="s">
        <v>4</v>
      </c>
      <c r="J252" s="143">
        <f t="shared" si="37"/>
        <v>1</v>
      </c>
      <c r="K252" s="148">
        <f t="shared" si="38"/>
        <v>0</v>
      </c>
      <c r="L252" s="159">
        <v>0</v>
      </c>
      <c r="M252" s="24">
        <f t="shared" si="39"/>
        <v>1</v>
      </c>
      <c r="N252" s="158"/>
      <c r="O252" s="22"/>
      <c r="P252" s="21">
        <v>0</v>
      </c>
      <c r="Q252" s="20">
        <f t="shared" si="40"/>
        <v>0</v>
      </c>
      <c r="R252" s="19"/>
    </row>
    <row r="253" spans="2:18" x14ac:dyDescent="0.25">
      <c r="B253" s="122"/>
      <c r="C253" s="28" t="s">
        <v>144</v>
      </c>
      <c r="D253" s="25" t="s">
        <v>148</v>
      </c>
      <c r="E253" s="25" t="s">
        <v>142</v>
      </c>
      <c r="F253" s="27"/>
      <c r="G253" s="26" t="str">
        <f t="shared" si="36"/>
        <v>Instalation receveur de douche 90x90</v>
      </c>
      <c r="H253" s="135"/>
      <c r="I253" s="142" t="s">
        <v>4</v>
      </c>
      <c r="J253" s="143">
        <f t="shared" si="37"/>
        <v>0</v>
      </c>
      <c r="K253" s="148">
        <f t="shared" si="38"/>
        <v>0</v>
      </c>
      <c r="L253" s="159">
        <v>0</v>
      </c>
      <c r="M253" s="24">
        <f t="shared" si="39"/>
        <v>0</v>
      </c>
      <c r="N253" s="158"/>
      <c r="O253" s="22"/>
      <c r="P253" s="21">
        <v>0</v>
      </c>
      <c r="Q253" s="20">
        <f t="shared" si="40"/>
        <v>0</v>
      </c>
      <c r="R253" s="19"/>
    </row>
    <row r="254" spans="2:18" x14ac:dyDescent="0.25">
      <c r="B254" s="122"/>
      <c r="C254" s="28" t="s">
        <v>144</v>
      </c>
      <c r="D254" s="25" t="s">
        <v>148</v>
      </c>
      <c r="E254" s="25" t="s">
        <v>142</v>
      </c>
      <c r="F254" s="27"/>
      <c r="G254" s="26" t="str">
        <f t="shared" si="36"/>
        <v>Instalation Baignoire</v>
      </c>
      <c r="H254" s="135"/>
      <c r="I254" s="142" t="s">
        <v>4</v>
      </c>
      <c r="J254" s="143">
        <f t="shared" si="37"/>
        <v>0</v>
      </c>
      <c r="K254" s="148">
        <f t="shared" si="38"/>
        <v>0</v>
      </c>
      <c r="L254" s="159">
        <v>0</v>
      </c>
      <c r="M254" s="24">
        <f t="shared" si="39"/>
        <v>0</v>
      </c>
      <c r="N254" s="158"/>
      <c r="O254" s="22"/>
      <c r="P254" s="21">
        <v>0</v>
      </c>
      <c r="Q254" s="20">
        <f t="shared" si="40"/>
        <v>0</v>
      </c>
      <c r="R254" s="19"/>
    </row>
    <row r="255" spans="2:18" x14ac:dyDescent="0.25">
      <c r="B255" s="122"/>
      <c r="C255" s="28" t="s">
        <v>144</v>
      </c>
      <c r="D255" s="25" t="s">
        <v>148</v>
      </c>
      <c r="E255" s="25" t="s">
        <v>142</v>
      </c>
      <c r="F255" s="27"/>
      <c r="G255" s="26" t="str">
        <f t="shared" si="36"/>
        <v xml:space="preserve">Instalation </v>
      </c>
      <c r="H255" s="135"/>
      <c r="I255" s="142" t="s">
        <v>4</v>
      </c>
      <c r="J255" s="143">
        <f t="shared" si="37"/>
        <v>0</v>
      </c>
      <c r="K255" s="148">
        <f t="shared" si="38"/>
        <v>0</v>
      </c>
      <c r="L255" s="159">
        <v>0</v>
      </c>
      <c r="M255" s="24">
        <f t="shared" si="39"/>
        <v>0</v>
      </c>
      <c r="N255" s="158"/>
      <c r="O255" s="22"/>
      <c r="P255" s="21">
        <v>0</v>
      </c>
      <c r="Q255" s="20">
        <f t="shared" si="40"/>
        <v>0</v>
      </c>
      <c r="R255" s="19"/>
    </row>
    <row r="256" spans="2:18" x14ac:dyDescent="0.25">
      <c r="B256" s="122"/>
      <c r="C256" s="28" t="s">
        <v>144</v>
      </c>
      <c r="D256" s="25" t="s">
        <v>148</v>
      </c>
      <c r="E256" s="25" t="s">
        <v>142</v>
      </c>
      <c r="F256" s="27"/>
      <c r="G256" s="26" t="str">
        <f t="shared" si="36"/>
        <v xml:space="preserve">Instalation </v>
      </c>
      <c r="H256" s="135"/>
      <c r="I256" s="142" t="s">
        <v>4</v>
      </c>
      <c r="J256" s="143">
        <f t="shared" si="37"/>
        <v>0</v>
      </c>
      <c r="K256" s="148">
        <f t="shared" si="38"/>
        <v>0</v>
      </c>
      <c r="L256" s="159">
        <v>0</v>
      </c>
      <c r="M256" s="24">
        <f t="shared" si="39"/>
        <v>0</v>
      </c>
      <c r="N256" s="158"/>
      <c r="O256" s="22"/>
      <c r="P256" s="21">
        <v>0</v>
      </c>
      <c r="Q256" s="20">
        <f t="shared" si="40"/>
        <v>0</v>
      </c>
      <c r="R256" s="19"/>
    </row>
    <row r="257" spans="2:18" x14ac:dyDescent="0.25">
      <c r="B257" s="122"/>
      <c r="C257" s="28" t="s">
        <v>144</v>
      </c>
      <c r="D257" s="25" t="s">
        <v>148</v>
      </c>
      <c r="E257" s="25" t="s">
        <v>142</v>
      </c>
      <c r="F257" s="27"/>
      <c r="G257" s="26" t="str">
        <f t="shared" si="36"/>
        <v xml:space="preserve">Instalation </v>
      </c>
      <c r="H257" s="135"/>
      <c r="I257" s="142" t="s">
        <v>4</v>
      </c>
      <c r="J257" s="143">
        <f t="shared" si="37"/>
        <v>0</v>
      </c>
      <c r="K257" s="148">
        <f t="shared" si="38"/>
        <v>0</v>
      </c>
      <c r="L257" s="159">
        <v>0</v>
      </c>
      <c r="M257" s="24">
        <f t="shared" si="39"/>
        <v>0</v>
      </c>
      <c r="N257" s="158"/>
      <c r="O257" s="22"/>
      <c r="P257" s="21">
        <v>0</v>
      </c>
      <c r="Q257" s="20">
        <f t="shared" si="40"/>
        <v>0</v>
      </c>
      <c r="R257" s="19"/>
    </row>
    <row r="258" spans="2:18" x14ac:dyDescent="0.25">
      <c r="B258" s="122"/>
      <c r="C258" s="28" t="s">
        <v>144</v>
      </c>
      <c r="D258" s="25" t="s">
        <v>148</v>
      </c>
      <c r="E258" s="25" t="s">
        <v>142</v>
      </c>
      <c r="F258" s="27"/>
      <c r="G258" s="26" t="str">
        <f t="shared" si="36"/>
        <v xml:space="preserve">Instalation </v>
      </c>
      <c r="H258" s="135"/>
      <c r="I258" s="142" t="s">
        <v>4</v>
      </c>
      <c r="J258" s="143">
        <f t="shared" si="37"/>
        <v>0</v>
      </c>
      <c r="K258" s="148">
        <f t="shared" si="38"/>
        <v>0</v>
      </c>
      <c r="L258" s="159">
        <v>0</v>
      </c>
      <c r="M258" s="24">
        <f t="shared" si="39"/>
        <v>0</v>
      </c>
      <c r="N258" s="158"/>
      <c r="O258" s="22"/>
      <c r="P258" s="21">
        <v>0</v>
      </c>
      <c r="Q258" s="20">
        <f t="shared" si="40"/>
        <v>0</v>
      </c>
      <c r="R258" s="19"/>
    </row>
    <row r="259" spans="2:18" x14ac:dyDescent="0.25">
      <c r="B259" s="122"/>
      <c r="C259" s="28" t="s">
        <v>144</v>
      </c>
      <c r="D259" s="25" t="s">
        <v>148</v>
      </c>
      <c r="E259" s="25" t="s">
        <v>142</v>
      </c>
      <c r="F259" s="27"/>
      <c r="G259" s="26" t="str">
        <f t="shared" si="36"/>
        <v xml:space="preserve">Instalation </v>
      </c>
      <c r="H259" s="135"/>
      <c r="I259" s="142" t="s">
        <v>4</v>
      </c>
      <c r="J259" s="143">
        <f t="shared" si="37"/>
        <v>0</v>
      </c>
      <c r="K259" s="148">
        <f t="shared" si="38"/>
        <v>0</v>
      </c>
      <c r="L259" s="159">
        <v>0</v>
      </c>
      <c r="M259" s="24">
        <f t="shared" si="39"/>
        <v>0</v>
      </c>
      <c r="N259" s="158"/>
      <c r="O259" s="22"/>
      <c r="P259" s="21">
        <v>0</v>
      </c>
      <c r="Q259" s="20">
        <f t="shared" si="40"/>
        <v>0</v>
      </c>
      <c r="R259" s="19"/>
    </row>
    <row r="260" spans="2:18" x14ac:dyDescent="0.25">
      <c r="B260" s="122"/>
      <c r="C260" s="28" t="s">
        <v>144</v>
      </c>
      <c r="D260" s="25" t="s">
        <v>148</v>
      </c>
      <c r="E260" s="25" t="s">
        <v>142</v>
      </c>
      <c r="F260" s="27"/>
      <c r="G260" s="26" t="str">
        <f t="shared" si="36"/>
        <v xml:space="preserve">Instalation </v>
      </c>
      <c r="H260" s="135"/>
      <c r="I260" s="142" t="s">
        <v>4</v>
      </c>
      <c r="J260" s="143">
        <f t="shared" si="37"/>
        <v>0</v>
      </c>
      <c r="K260" s="148">
        <f t="shared" si="38"/>
        <v>0</v>
      </c>
      <c r="L260" s="159">
        <v>0</v>
      </c>
      <c r="M260" s="24">
        <f t="shared" si="39"/>
        <v>0</v>
      </c>
      <c r="N260" s="158"/>
      <c r="O260" s="22"/>
      <c r="P260" s="21">
        <v>0</v>
      </c>
      <c r="Q260" s="20">
        <f t="shared" si="40"/>
        <v>0</v>
      </c>
      <c r="R260" s="19"/>
    </row>
    <row r="261" spans="2:18" x14ac:dyDescent="0.25">
      <c r="B261" s="122"/>
      <c r="C261" s="28" t="s">
        <v>144</v>
      </c>
      <c r="D261" s="25" t="s">
        <v>148</v>
      </c>
      <c r="E261" s="25" t="s">
        <v>142</v>
      </c>
      <c r="F261" s="27"/>
      <c r="G261" s="26" t="str">
        <f t="shared" si="36"/>
        <v xml:space="preserve">Instalation </v>
      </c>
      <c r="H261" s="135"/>
      <c r="I261" s="142" t="s">
        <v>4</v>
      </c>
      <c r="J261" s="143">
        <f t="shared" si="37"/>
        <v>0</v>
      </c>
      <c r="K261" s="148">
        <f t="shared" si="38"/>
        <v>0</v>
      </c>
      <c r="L261" s="159">
        <v>0</v>
      </c>
      <c r="M261" s="24">
        <f t="shared" si="39"/>
        <v>0</v>
      </c>
      <c r="N261" s="158"/>
      <c r="O261" s="22"/>
      <c r="P261" s="21">
        <v>0</v>
      </c>
      <c r="Q261" s="20">
        <f t="shared" si="40"/>
        <v>0</v>
      </c>
      <c r="R261" s="19"/>
    </row>
    <row r="262" spans="2:18" x14ac:dyDescent="0.25">
      <c r="B262" s="122"/>
      <c r="C262" s="28" t="s">
        <v>144</v>
      </c>
      <c r="D262" s="25" t="s">
        <v>148</v>
      </c>
      <c r="E262" s="25" t="s">
        <v>142</v>
      </c>
      <c r="F262" s="27"/>
      <c r="G262" s="26" t="str">
        <f t="shared" si="36"/>
        <v xml:space="preserve">Instalation </v>
      </c>
      <c r="H262" s="135"/>
      <c r="I262" s="142" t="s">
        <v>4</v>
      </c>
      <c r="J262" s="143">
        <f t="shared" si="37"/>
        <v>0</v>
      </c>
      <c r="K262" s="148">
        <f t="shared" si="38"/>
        <v>0</v>
      </c>
      <c r="L262" s="159">
        <v>0</v>
      </c>
      <c r="M262" s="24">
        <f t="shared" si="39"/>
        <v>0</v>
      </c>
      <c r="N262" s="158"/>
      <c r="O262" s="22"/>
      <c r="P262" s="21">
        <v>0</v>
      </c>
      <c r="Q262" s="20">
        <f t="shared" si="40"/>
        <v>0</v>
      </c>
      <c r="R262" s="19"/>
    </row>
    <row r="263" spans="2:18" x14ac:dyDescent="0.25">
      <c r="B263" s="122"/>
      <c r="C263" s="28" t="s">
        <v>144</v>
      </c>
      <c r="D263" s="25" t="s">
        <v>148</v>
      </c>
      <c r="E263" s="25" t="s">
        <v>142</v>
      </c>
      <c r="F263" s="27"/>
      <c r="G263" s="26" t="s">
        <v>147</v>
      </c>
      <c r="H263" s="174"/>
      <c r="I263" s="142" t="s">
        <v>4</v>
      </c>
      <c r="J263" s="143">
        <v>1</v>
      </c>
      <c r="K263" s="148">
        <f t="shared" si="38"/>
        <v>0</v>
      </c>
      <c r="L263" s="159">
        <v>0</v>
      </c>
      <c r="M263" s="24">
        <f t="shared" si="39"/>
        <v>1</v>
      </c>
      <c r="N263" s="158"/>
      <c r="O263" s="22"/>
      <c r="P263" s="21">
        <v>0</v>
      </c>
      <c r="Q263" s="20">
        <f t="shared" si="40"/>
        <v>0</v>
      </c>
      <c r="R263" s="19"/>
    </row>
    <row r="264" spans="2:18" ht="64.5" x14ac:dyDescent="0.25">
      <c r="B264" s="28"/>
      <c r="C264" s="28" t="s">
        <v>144</v>
      </c>
      <c r="D264" s="25" t="s">
        <v>146</v>
      </c>
      <c r="E264" s="25" t="s">
        <v>142</v>
      </c>
      <c r="F264" s="27"/>
      <c r="G264" s="31" t="s">
        <v>145</v>
      </c>
      <c r="H264" s="174"/>
      <c r="I264" s="142" t="s">
        <v>4</v>
      </c>
      <c r="J264" s="143">
        <f>[1]Données!K49</f>
        <v>2</v>
      </c>
      <c r="K264" s="148">
        <f t="shared" si="38"/>
        <v>0</v>
      </c>
      <c r="L264" s="159">
        <v>0</v>
      </c>
      <c r="M264" s="24">
        <f t="shared" si="39"/>
        <v>2</v>
      </c>
      <c r="N264" s="158"/>
      <c r="O264" s="22"/>
      <c r="P264" s="21">
        <v>0</v>
      </c>
      <c r="Q264" s="20">
        <f t="shared" si="40"/>
        <v>0</v>
      </c>
      <c r="R264" s="19"/>
    </row>
    <row r="265" spans="2:18" ht="64.5" x14ac:dyDescent="0.25">
      <c r="B265" s="28"/>
      <c r="C265" s="28" t="s">
        <v>144</v>
      </c>
      <c r="D265" s="25" t="s">
        <v>143</v>
      </c>
      <c r="E265" s="25" t="s">
        <v>142</v>
      </c>
      <c r="F265" s="27"/>
      <c r="G265" s="31" t="s">
        <v>141</v>
      </c>
      <c r="H265" s="174"/>
      <c r="I265" s="142" t="s">
        <v>4</v>
      </c>
      <c r="J265" s="143">
        <f>[1]Données!K50</f>
        <v>0</v>
      </c>
      <c r="K265" s="148">
        <f t="shared" si="38"/>
        <v>0</v>
      </c>
      <c r="L265" s="159">
        <v>0</v>
      </c>
      <c r="M265" s="24">
        <f t="shared" si="39"/>
        <v>0</v>
      </c>
      <c r="N265" s="158"/>
      <c r="O265" s="22"/>
      <c r="P265" s="21">
        <v>0</v>
      </c>
      <c r="Q265" s="20">
        <f t="shared" si="40"/>
        <v>0</v>
      </c>
      <c r="R265" s="19"/>
    </row>
    <row r="266" spans="2:18" ht="17.25" x14ac:dyDescent="0.3">
      <c r="B266" s="47"/>
      <c r="H266" s="39"/>
      <c r="J266" s="4"/>
      <c r="L266" s="39"/>
      <c r="M266" s="6"/>
      <c r="N266" s="150"/>
      <c r="O266" s="17" t="e">
        <f>N266/$N$127</f>
        <v>#DIV/0!</v>
      </c>
      <c r="P266" s="16"/>
      <c r="Q266" s="15">
        <f>SUM(Q259:Q260)</f>
        <v>0</v>
      </c>
    </row>
    <row r="267" spans="2:18" x14ac:dyDescent="0.25">
      <c r="B267" s="1"/>
      <c r="C267" s="1"/>
      <c r="D267" s="1"/>
      <c r="E267" s="1"/>
      <c r="F267" s="1"/>
      <c r="G267" s="44"/>
      <c r="H267" s="43"/>
      <c r="I267" s="42"/>
      <c r="J267" s="42"/>
      <c r="K267" s="42"/>
      <c r="L267" s="43"/>
      <c r="M267" s="1"/>
      <c r="N267" s="42"/>
      <c r="O267" s="1"/>
      <c r="P267" s="18"/>
      <c r="Q267" s="1"/>
      <c r="R267" s="1"/>
    </row>
    <row r="268" spans="2:18" ht="13.9" customHeight="1" x14ac:dyDescent="0.25">
      <c r="B268" s="122" t="s">
        <v>108</v>
      </c>
      <c r="C268" s="25" t="s">
        <v>95</v>
      </c>
      <c r="D268" s="25" t="s">
        <v>108</v>
      </c>
      <c r="E268" s="25" t="s">
        <v>118</v>
      </c>
      <c r="F268" s="27"/>
      <c r="G268" s="46" t="s">
        <v>140</v>
      </c>
      <c r="H268" s="135"/>
      <c r="I268" s="142" t="s">
        <v>4</v>
      </c>
      <c r="J268" s="143">
        <f>[1]Données!K52</f>
        <v>9</v>
      </c>
      <c r="K268" s="148">
        <f>H268*J268</f>
        <v>0</v>
      </c>
      <c r="L268" s="159"/>
      <c r="M268" s="24">
        <f t="shared" ref="M268:M297" si="41">(J268*L268+J268)</f>
        <v>9</v>
      </c>
      <c r="N268" s="158"/>
      <c r="O268" s="22"/>
      <c r="P268" s="21">
        <v>0</v>
      </c>
      <c r="Q268" s="20">
        <f t="shared" ref="Q268:Q297" si="42">P268*J268</f>
        <v>0</v>
      </c>
      <c r="R268" s="19"/>
    </row>
    <row r="269" spans="2:18" x14ac:dyDescent="0.25">
      <c r="B269" s="122"/>
      <c r="C269" s="25" t="s">
        <v>95</v>
      </c>
      <c r="D269" s="25" t="s">
        <v>108</v>
      </c>
      <c r="E269" s="25" t="s">
        <v>118</v>
      </c>
      <c r="F269" s="27"/>
      <c r="G269" s="31" t="s">
        <v>139</v>
      </c>
      <c r="H269" s="135"/>
      <c r="I269" s="142" t="s">
        <v>4</v>
      </c>
      <c r="J269" s="143">
        <f>[1]Données!K53</f>
        <v>23</v>
      </c>
      <c r="K269" s="148">
        <f>H269*J269</f>
        <v>0</v>
      </c>
      <c r="L269" s="159"/>
      <c r="M269" s="24">
        <f t="shared" si="41"/>
        <v>23</v>
      </c>
      <c r="N269" s="158"/>
      <c r="O269" s="22"/>
      <c r="P269" s="21">
        <v>0</v>
      </c>
      <c r="Q269" s="20">
        <f t="shared" si="42"/>
        <v>0</v>
      </c>
      <c r="R269" s="19"/>
    </row>
    <row r="270" spans="2:18" x14ac:dyDescent="0.25">
      <c r="B270" s="122"/>
      <c r="C270" s="25" t="s">
        <v>95</v>
      </c>
      <c r="D270" s="25" t="s">
        <v>108</v>
      </c>
      <c r="E270" s="25" t="s">
        <v>118</v>
      </c>
      <c r="F270" s="27"/>
      <c r="G270" s="46" t="s">
        <v>138</v>
      </c>
      <c r="H270" s="135"/>
      <c r="I270" s="142" t="s">
        <v>4</v>
      </c>
      <c r="J270" s="143">
        <f>[1]Données!K54</f>
        <v>5</v>
      </c>
      <c r="K270" s="148">
        <f>H270*J270</f>
        <v>0</v>
      </c>
      <c r="L270" s="159"/>
      <c r="M270" s="24">
        <f t="shared" si="41"/>
        <v>5</v>
      </c>
      <c r="N270" s="158"/>
      <c r="O270" s="22"/>
      <c r="P270" s="21">
        <v>0</v>
      </c>
      <c r="Q270" s="20">
        <f t="shared" si="42"/>
        <v>0</v>
      </c>
      <c r="R270" s="19"/>
    </row>
    <row r="271" spans="2:18" x14ac:dyDescent="0.25">
      <c r="B271" s="122"/>
      <c r="C271" s="25" t="s">
        <v>95</v>
      </c>
      <c r="D271" s="25" t="s">
        <v>108</v>
      </c>
      <c r="E271" s="25" t="s">
        <v>118</v>
      </c>
      <c r="F271" s="27"/>
      <c r="G271" s="31" t="s">
        <v>137</v>
      </c>
      <c r="H271" s="135"/>
      <c r="I271" s="142" t="s">
        <v>4</v>
      </c>
      <c r="J271" s="143">
        <f>[1]Données!K55</f>
        <v>1</v>
      </c>
      <c r="K271" s="148">
        <f>H271*J271</f>
        <v>0</v>
      </c>
      <c r="L271" s="159"/>
      <c r="M271" s="24">
        <f t="shared" si="41"/>
        <v>1</v>
      </c>
      <c r="N271" s="158"/>
      <c r="O271" s="22"/>
      <c r="P271" s="21">
        <v>0</v>
      </c>
      <c r="Q271" s="20">
        <f t="shared" si="42"/>
        <v>0</v>
      </c>
      <c r="R271" s="19"/>
    </row>
    <row r="272" spans="2:18" x14ac:dyDescent="0.25">
      <c r="B272" s="122"/>
      <c r="C272" s="25" t="s">
        <v>95</v>
      </c>
      <c r="D272" s="25" t="s">
        <v>108</v>
      </c>
      <c r="E272" s="25" t="s">
        <v>118</v>
      </c>
      <c r="F272" s="27"/>
      <c r="G272" s="46" t="s">
        <v>136</v>
      </c>
      <c r="H272" s="135"/>
      <c r="I272" s="142" t="s">
        <v>4</v>
      </c>
      <c r="J272" s="143">
        <f>[1]Données!K56</f>
        <v>17</v>
      </c>
      <c r="K272" s="148">
        <v>47.43</v>
      </c>
      <c r="L272" s="159"/>
      <c r="M272" s="24">
        <f t="shared" si="41"/>
        <v>17</v>
      </c>
      <c r="N272" s="158"/>
      <c r="O272" s="22"/>
      <c r="P272" s="21">
        <v>0</v>
      </c>
      <c r="Q272" s="20">
        <f t="shared" si="42"/>
        <v>0</v>
      </c>
      <c r="R272" s="19"/>
    </row>
    <row r="273" spans="2:18" x14ac:dyDescent="0.25">
      <c r="B273" s="122"/>
      <c r="C273" s="25" t="s">
        <v>95</v>
      </c>
      <c r="D273" s="25" t="s">
        <v>108</v>
      </c>
      <c r="E273" s="25" t="s">
        <v>118</v>
      </c>
      <c r="F273" s="27"/>
      <c r="G273" s="26" t="s">
        <v>135</v>
      </c>
      <c r="H273" s="135"/>
      <c r="I273" s="142" t="s">
        <v>4</v>
      </c>
      <c r="J273" s="143">
        <f>IF(J303&gt;0,2,(J305))</f>
        <v>0</v>
      </c>
      <c r="K273" s="148">
        <f t="shared" ref="K273:K297" si="43">H273*J273</f>
        <v>0</v>
      </c>
      <c r="L273" s="159"/>
      <c r="M273" s="24">
        <f t="shared" si="41"/>
        <v>0</v>
      </c>
      <c r="N273" s="158"/>
      <c r="O273" s="22"/>
      <c r="P273" s="21">
        <v>0</v>
      </c>
      <c r="Q273" s="20">
        <f t="shared" si="42"/>
        <v>0</v>
      </c>
      <c r="R273" s="19"/>
    </row>
    <row r="274" spans="2:18" x14ac:dyDescent="0.25">
      <c r="B274" s="122"/>
      <c r="C274" s="25" t="s">
        <v>95</v>
      </c>
      <c r="D274" s="25" t="s">
        <v>108</v>
      </c>
      <c r="E274" s="25" t="s">
        <v>118</v>
      </c>
      <c r="F274" s="27"/>
      <c r="G274" s="26" t="s">
        <v>134</v>
      </c>
      <c r="H274" s="135"/>
      <c r="I274" s="142" t="s">
        <v>4</v>
      </c>
      <c r="J274" s="143">
        <v>1</v>
      </c>
      <c r="K274" s="148">
        <f t="shared" si="43"/>
        <v>0</v>
      </c>
      <c r="L274" s="159"/>
      <c r="M274" s="24">
        <f t="shared" si="41"/>
        <v>1</v>
      </c>
      <c r="N274" s="158"/>
      <c r="O274" s="22"/>
      <c r="P274" s="21">
        <v>0</v>
      </c>
      <c r="Q274" s="20">
        <f t="shared" si="42"/>
        <v>0</v>
      </c>
      <c r="R274" s="19"/>
    </row>
    <row r="275" spans="2:18" x14ac:dyDescent="0.25">
      <c r="B275" s="122"/>
      <c r="C275" s="25" t="s">
        <v>95</v>
      </c>
      <c r="D275" s="25" t="s">
        <v>108</v>
      </c>
      <c r="E275" s="25" t="s">
        <v>118</v>
      </c>
      <c r="F275" s="27"/>
      <c r="G275" s="26" t="s">
        <v>133</v>
      </c>
      <c r="H275" s="135"/>
      <c r="I275" s="142" t="s">
        <v>4</v>
      </c>
      <c r="J275" s="143">
        <v>1</v>
      </c>
      <c r="K275" s="148">
        <f t="shared" si="43"/>
        <v>0</v>
      </c>
      <c r="L275" s="159"/>
      <c r="M275" s="24">
        <f t="shared" si="41"/>
        <v>1</v>
      </c>
      <c r="N275" s="158"/>
      <c r="O275" s="22"/>
      <c r="P275" s="21">
        <v>0</v>
      </c>
      <c r="Q275" s="20">
        <f t="shared" si="42"/>
        <v>0</v>
      </c>
      <c r="R275" s="19"/>
    </row>
    <row r="276" spans="2:18" x14ac:dyDescent="0.25">
      <c r="B276" s="122"/>
      <c r="C276" s="25" t="s">
        <v>95</v>
      </c>
      <c r="D276" s="25" t="s">
        <v>108</v>
      </c>
      <c r="E276" s="25" t="s">
        <v>118</v>
      </c>
      <c r="F276" s="27"/>
      <c r="G276" s="26" t="s">
        <v>132</v>
      </c>
      <c r="H276" s="135"/>
      <c r="I276" s="142" t="s">
        <v>4</v>
      </c>
      <c r="J276" s="143">
        <v>1</v>
      </c>
      <c r="K276" s="148">
        <f t="shared" si="43"/>
        <v>0</v>
      </c>
      <c r="L276" s="159"/>
      <c r="M276" s="24">
        <f t="shared" si="41"/>
        <v>1</v>
      </c>
      <c r="N276" s="158"/>
      <c r="O276" s="22"/>
      <c r="P276" s="21">
        <v>0</v>
      </c>
      <c r="Q276" s="20">
        <f t="shared" si="42"/>
        <v>0</v>
      </c>
      <c r="R276" s="19"/>
    </row>
    <row r="277" spans="2:18" x14ac:dyDescent="0.25">
      <c r="B277" s="122"/>
      <c r="C277" s="25" t="s">
        <v>95</v>
      </c>
      <c r="D277" s="25" t="s">
        <v>108</v>
      </c>
      <c r="E277" s="25" t="s">
        <v>118</v>
      </c>
      <c r="F277" s="27"/>
      <c r="G277" s="26" t="s">
        <v>131</v>
      </c>
      <c r="H277" s="135"/>
      <c r="I277" s="142" t="s">
        <v>4</v>
      </c>
      <c r="J277" s="143">
        <v>1</v>
      </c>
      <c r="K277" s="148">
        <f t="shared" si="43"/>
        <v>0</v>
      </c>
      <c r="L277" s="159"/>
      <c r="M277" s="24">
        <f t="shared" si="41"/>
        <v>1</v>
      </c>
      <c r="N277" s="158"/>
      <c r="O277" s="22"/>
      <c r="P277" s="21">
        <v>0</v>
      </c>
      <c r="Q277" s="20">
        <f t="shared" si="42"/>
        <v>0</v>
      </c>
      <c r="R277" s="19"/>
    </row>
    <row r="278" spans="2:18" x14ac:dyDescent="0.25">
      <c r="B278" s="122"/>
      <c r="C278" s="25" t="s">
        <v>95</v>
      </c>
      <c r="D278" s="25" t="s">
        <v>108</v>
      </c>
      <c r="E278" s="25" t="s">
        <v>118</v>
      </c>
      <c r="F278" s="27"/>
      <c r="G278" s="26" t="s">
        <v>130</v>
      </c>
      <c r="H278" s="135"/>
      <c r="I278" s="142" t="s">
        <v>4</v>
      </c>
      <c r="J278" s="143">
        <f>J307+J303+J362</f>
        <v>1</v>
      </c>
      <c r="K278" s="148">
        <f t="shared" si="43"/>
        <v>0</v>
      </c>
      <c r="L278" s="159"/>
      <c r="M278" s="24">
        <f t="shared" si="41"/>
        <v>1</v>
      </c>
      <c r="N278" s="158"/>
      <c r="O278" s="22"/>
      <c r="P278" s="21">
        <v>0</v>
      </c>
      <c r="Q278" s="20">
        <f t="shared" si="42"/>
        <v>0</v>
      </c>
      <c r="R278" s="19"/>
    </row>
    <row r="279" spans="2:18" x14ac:dyDescent="0.25">
      <c r="B279" s="122"/>
      <c r="C279" s="25" t="s">
        <v>95</v>
      </c>
      <c r="D279" s="25" t="s">
        <v>108</v>
      </c>
      <c r="E279" s="25" t="s">
        <v>118</v>
      </c>
      <c r="F279" s="27"/>
      <c r="G279" s="26" t="s">
        <v>129</v>
      </c>
      <c r="H279" s="135"/>
      <c r="I279" s="142" t="s">
        <v>4</v>
      </c>
      <c r="J279" s="143">
        <f>J300</f>
        <v>0</v>
      </c>
      <c r="K279" s="148">
        <f t="shared" si="43"/>
        <v>0</v>
      </c>
      <c r="L279" s="159"/>
      <c r="M279" s="24">
        <f t="shared" si="41"/>
        <v>0</v>
      </c>
      <c r="N279" s="158"/>
      <c r="O279" s="22"/>
      <c r="P279" s="21">
        <v>0</v>
      </c>
      <c r="Q279" s="20">
        <f t="shared" si="42"/>
        <v>0</v>
      </c>
      <c r="R279" s="19"/>
    </row>
    <row r="280" spans="2:18" x14ac:dyDescent="0.25">
      <c r="B280" s="122"/>
      <c r="C280" s="25" t="s">
        <v>95</v>
      </c>
      <c r="D280" s="25" t="s">
        <v>108</v>
      </c>
      <c r="E280" s="25" t="s">
        <v>118</v>
      </c>
      <c r="F280" s="27"/>
      <c r="G280" s="26" t="s">
        <v>128</v>
      </c>
      <c r="H280" s="135"/>
      <c r="I280" s="142" t="s">
        <v>4</v>
      </c>
      <c r="J280" s="143">
        <f>J301</f>
        <v>1</v>
      </c>
      <c r="K280" s="148">
        <f t="shared" si="43"/>
        <v>0</v>
      </c>
      <c r="L280" s="159"/>
      <c r="M280" s="24">
        <f t="shared" si="41"/>
        <v>1</v>
      </c>
      <c r="N280" s="158"/>
      <c r="O280" s="22"/>
      <c r="P280" s="21">
        <v>0</v>
      </c>
      <c r="Q280" s="20">
        <f t="shared" si="42"/>
        <v>0</v>
      </c>
      <c r="R280" s="19"/>
    </row>
    <row r="281" spans="2:18" x14ac:dyDescent="0.25">
      <c r="B281" s="122"/>
      <c r="C281" s="25" t="s">
        <v>95</v>
      </c>
      <c r="D281" s="25" t="s">
        <v>108</v>
      </c>
      <c r="E281" s="25" t="s">
        <v>118</v>
      </c>
      <c r="F281" s="27"/>
      <c r="G281" s="26" t="s">
        <v>127</v>
      </c>
      <c r="H281" s="135"/>
      <c r="I281" s="142" t="s">
        <v>4</v>
      </c>
      <c r="J281" s="143">
        <f>J302</f>
        <v>0</v>
      </c>
      <c r="K281" s="148">
        <f t="shared" si="43"/>
        <v>0</v>
      </c>
      <c r="L281" s="159"/>
      <c r="M281" s="24">
        <f t="shared" si="41"/>
        <v>0</v>
      </c>
      <c r="N281" s="158"/>
      <c r="O281" s="22"/>
      <c r="P281" s="21">
        <v>0</v>
      </c>
      <c r="Q281" s="20">
        <f t="shared" si="42"/>
        <v>0</v>
      </c>
      <c r="R281" s="19"/>
    </row>
    <row r="282" spans="2:18" ht="30" x14ac:dyDescent="0.25">
      <c r="B282" s="122"/>
      <c r="C282" s="25" t="s">
        <v>95</v>
      </c>
      <c r="D282" s="25" t="s">
        <v>108</v>
      </c>
      <c r="E282" s="25" t="s">
        <v>118</v>
      </c>
      <c r="F282" s="27"/>
      <c r="G282" s="26" t="s">
        <v>126</v>
      </c>
      <c r="H282" s="135"/>
      <c r="I282" s="142" t="s">
        <v>4</v>
      </c>
      <c r="J282" s="143">
        <f>J91+J92+J94+J95+J96+J97+J98</f>
        <v>5</v>
      </c>
      <c r="K282" s="148">
        <f t="shared" si="43"/>
        <v>0</v>
      </c>
      <c r="L282" s="159"/>
      <c r="M282" s="24">
        <f t="shared" si="41"/>
        <v>5</v>
      </c>
      <c r="N282" s="158"/>
      <c r="O282" s="22"/>
      <c r="P282" s="21">
        <v>0</v>
      </c>
      <c r="Q282" s="20">
        <f t="shared" si="42"/>
        <v>0</v>
      </c>
      <c r="R282" s="19"/>
    </row>
    <row r="283" spans="2:18" ht="30" x14ac:dyDescent="0.25">
      <c r="B283" s="122"/>
      <c r="C283" s="25" t="s">
        <v>95</v>
      </c>
      <c r="D283" s="25" t="s">
        <v>108</v>
      </c>
      <c r="E283" s="25" t="s">
        <v>118</v>
      </c>
      <c r="F283" s="27"/>
      <c r="G283" s="26" t="s">
        <v>125</v>
      </c>
      <c r="H283" s="139"/>
      <c r="I283" s="142" t="s">
        <v>4</v>
      </c>
      <c r="J283" s="143">
        <f>IF(([1]Données!$E$19&lt;30),1,0)</f>
        <v>0</v>
      </c>
      <c r="K283" s="148">
        <f t="shared" si="43"/>
        <v>0</v>
      </c>
      <c r="L283" s="159"/>
      <c r="M283" s="24">
        <f t="shared" si="41"/>
        <v>0</v>
      </c>
      <c r="N283" s="158"/>
      <c r="O283" s="22"/>
      <c r="P283" s="21">
        <v>0</v>
      </c>
      <c r="Q283" s="20">
        <f t="shared" si="42"/>
        <v>0</v>
      </c>
      <c r="R283" s="19"/>
    </row>
    <row r="284" spans="2:18" ht="30" x14ac:dyDescent="0.25">
      <c r="B284" s="122"/>
      <c r="C284" s="25" t="s">
        <v>95</v>
      </c>
      <c r="D284" s="25" t="s">
        <v>108</v>
      </c>
      <c r="E284" s="25" t="s">
        <v>118</v>
      </c>
      <c r="F284" s="27"/>
      <c r="G284" s="26" t="s">
        <v>124</v>
      </c>
      <c r="H284" s="139"/>
      <c r="I284" s="142" t="s">
        <v>4</v>
      </c>
      <c r="J284" s="143">
        <f>IF([1]Données!$E$19&lt;60,(IF([1]Données!$E$19&gt;30,1,0)),0)</f>
        <v>0</v>
      </c>
      <c r="K284" s="148">
        <f t="shared" si="43"/>
        <v>0</v>
      </c>
      <c r="L284" s="159"/>
      <c r="M284" s="24">
        <f t="shared" si="41"/>
        <v>0</v>
      </c>
      <c r="N284" s="158"/>
      <c r="O284" s="22"/>
      <c r="P284" s="21">
        <v>0</v>
      </c>
      <c r="Q284" s="20">
        <f t="shared" si="42"/>
        <v>0</v>
      </c>
      <c r="R284" s="19"/>
    </row>
    <row r="285" spans="2:18" ht="30" x14ac:dyDescent="0.25">
      <c r="B285" s="122"/>
      <c r="C285" s="25" t="s">
        <v>95</v>
      </c>
      <c r="D285" s="25" t="s">
        <v>108</v>
      </c>
      <c r="E285" s="25" t="s">
        <v>118</v>
      </c>
      <c r="F285" s="27"/>
      <c r="G285" s="26" t="s">
        <v>123</v>
      </c>
      <c r="H285" s="139"/>
      <c r="I285" s="142" t="s">
        <v>4</v>
      </c>
      <c r="J285" s="143">
        <f>IF(([1]Données!$E$19&lt;90),(IF(([1]Données!$E$19&gt;60),1,0)),0)</f>
        <v>0</v>
      </c>
      <c r="K285" s="148">
        <f t="shared" si="43"/>
        <v>0</v>
      </c>
      <c r="L285" s="159"/>
      <c r="M285" s="24">
        <f t="shared" si="41"/>
        <v>0</v>
      </c>
      <c r="N285" s="158"/>
      <c r="O285" s="22"/>
      <c r="P285" s="21">
        <v>0</v>
      </c>
      <c r="Q285" s="20">
        <f t="shared" si="42"/>
        <v>0</v>
      </c>
      <c r="R285" s="19"/>
    </row>
    <row r="286" spans="2:18" ht="30" x14ac:dyDescent="0.25">
      <c r="B286" s="122"/>
      <c r="C286" s="25" t="s">
        <v>95</v>
      </c>
      <c r="D286" s="25" t="s">
        <v>108</v>
      </c>
      <c r="E286" s="25" t="s">
        <v>118</v>
      </c>
      <c r="F286" s="27"/>
      <c r="G286" s="26" t="s">
        <v>122</v>
      </c>
      <c r="H286" s="135"/>
      <c r="I286" s="142" t="s">
        <v>4</v>
      </c>
      <c r="J286" s="143">
        <f>IF(([1]Données!$E$19&lt;120),(IF(([1]Données!$E$19&gt;90),1,0)),0)</f>
        <v>1</v>
      </c>
      <c r="K286" s="148">
        <f t="shared" si="43"/>
        <v>0</v>
      </c>
      <c r="L286" s="159"/>
      <c r="M286" s="24">
        <f t="shared" si="41"/>
        <v>1</v>
      </c>
      <c r="N286" s="158"/>
      <c r="O286" s="22"/>
      <c r="P286" s="21">
        <v>0</v>
      </c>
      <c r="Q286" s="20">
        <f t="shared" si="42"/>
        <v>0</v>
      </c>
      <c r="R286" s="19"/>
    </row>
    <row r="287" spans="2:18" ht="30" x14ac:dyDescent="0.25">
      <c r="B287" s="122"/>
      <c r="C287" s="25" t="s">
        <v>95</v>
      </c>
      <c r="D287" s="25" t="s">
        <v>108</v>
      </c>
      <c r="E287" s="25" t="s">
        <v>118</v>
      </c>
      <c r="F287" s="27"/>
      <c r="G287" s="26" t="s">
        <v>121</v>
      </c>
      <c r="H287" s="139"/>
      <c r="I287" s="142" t="s">
        <v>4</v>
      </c>
      <c r="J287" s="143">
        <f>IF(([1]Données!$E$19&lt;150),(IF(([1]Données!$E$19&gt;120),1,0)),0)</f>
        <v>0</v>
      </c>
      <c r="K287" s="148">
        <f t="shared" si="43"/>
        <v>0</v>
      </c>
      <c r="L287" s="159"/>
      <c r="M287" s="24">
        <f t="shared" si="41"/>
        <v>0</v>
      </c>
      <c r="N287" s="158"/>
      <c r="O287" s="22"/>
      <c r="P287" s="21">
        <v>0</v>
      </c>
      <c r="Q287" s="20">
        <f t="shared" si="42"/>
        <v>0</v>
      </c>
      <c r="R287" s="19"/>
    </row>
    <row r="288" spans="2:18" ht="30" x14ac:dyDescent="0.25">
      <c r="B288" s="122"/>
      <c r="C288" s="25" t="s">
        <v>95</v>
      </c>
      <c r="D288" s="25" t="s">
        <v>108</v>
      </c>
      <c r="E288" s="25" t="s">
        <v>118</v>
      </c>
      <c r="F288" s="27"/>
      <c r="G288" s="26" t="s">
        <v>120</v>
      </c>
      <c r="H288" s="139"/>
      <c r="I288" s="142" t="s">
        <v>4</v>
      </c>
      <c r="J288" s="143">
        <f>IF(([1]Données!$E$19&gt;150),1,0)</f>
        <v>0</v>
      </c>
      <c r="K288" s="148">
        <f t="shared" si="43"/>
        <v>0</v>
      </c>
      <c r="L288" s="159"/>
      <c r="M288" s="24">
        <f t="shared" si="41"/>
        <v>0</v>
      </c>
      <c r="N288" s="158"/>
      <c r="O288" s="22"/>
      <c r="P288" s="21">
        <v>0</v>
      </c>
      <c r="Q288" s="20">
        <f t="shared" si="42"/>
        <v>0</v>
      </c>
      <c r="R288" s="19"/>
    </row>
    <row r="289" spans="2:18" ht="26.25" x14ac:dyDescent="0.25">
      <c r="B289" s="122"/>
      <c r="C289" s="25" t="s">
        <v>95</v>
      </c>
      <c r="D289" s="25" t="s">
        <v>108</v>
      </c>
      <c r="E289" s="25" t="s">
        <v>118</v>
      </c>
      <c r="F289" s="27"/>
      <c r="G289" s="44" t="s">
        <v>119</v>
      </c>
      <c r="H289" s="135"/>
      <c r="I289" s="142" t="s">
        <v>4</v>
      </c>
      <c r="J289" s="143">
        <v>1</v>
      </c>
      <c r="K289" s="148">
        <f t="shared" si="43"/>
        <v>0</v>
      </c>
      <c r="L289" s="159"/>
      <c r="M289" s="24">
        <f t="shared" si="41"/>
        <v>1</v>
      </c>
      <c r="N289" s="158"/>
      <c r="O289" s="22"/>
      <c r="P289" s="21">
        <v>0</v>
      </c>
      <c r="Q289" s="20">
        <f t="shared" si="42"/>
        <v>0</v>
      </c>
      <c r="R289" s="19"/>
    </row>
    <row r="290" spans="2:18" x14ac:dyDescent="0.25">
      <c r="B290" s="122"/>
      <c r="C290" s="25" t="s">
        <v>95</v>
      </c>
      <c r="D290" s="25" t="s">
        <v>108</v>
      </c>
      <c r="E290" s="25" t="s">
        <v>118</v>
      </c>
      <c r="F290" s="27"/>
      <c r="G290" s="26" t="s">
        <v>117</v>
      </c>
      <c r="H290" s="135"/>
      <c r="I290" s="142" t="s">
        <v>4</v>
      </c>
      <c r="J290" s="143">
        <v>1</v>
      </c>
      <c r="K290" s="148">
        <f t="shared" si="43"/>
        <v>0</v>
      </c>
      <c r="L290" s="159"/>
      <c r="M290" s="24">
        <f t="shared" si="41"/>
        <v>1</v>
      </c>
      <c r="N290" s="158"/>
      <c r="O290" s="22"/>
      <c r="P290" s="21">
        <v>0</v>
      </c>
      <c r="Q290" s="20">
        <f t="shared" si="42"/>
        <v>0</v>
      </c>
      <c r="R290" s="19"/>
    </row>
    <row r="291" spans="2:18" x14ac:dyDescent="0.25">
      <c r="B291" s="122"/>
      <c r="C291" s="25" t="s">
        <v>95</v>
      </c>
      <c r="D291" s="25" t="s">
        <v>108</v>
      </c>
      <c r="E291" s="25" t="s">
        <v>113</v>
      </c>
      <c r="F291" s="27"/>
      <c r="G291" s="45" t="s">
        <v>116</v>
      </c>
      <c r="H291" s="135"/>
      <c r="I291" s="142" t="s">
        <v>4</v>
      </c>
      <c r="J291" s="143">
        <v>1</v>
      </c>
      <c r="K291" s="148">
        <f t="shared" si="43"/>
        <v>0</v>
      </c>
      <c r="L291" s="159"/>
      <c r="M291" s="24">
        <f t="shared" si="41"/>
        <v>1</v>
      </c>
      <c r="N291" s="158"/>
      <c r="O291" s="22"/>
      <c r="P291" s="21">
        <v>0</v>
      </c>
      <c r="Q291" s="20">
        <f t="shared" si="42"/>
        <v>0</v>
      </c>
      <c r="R291" s="19"/>
    </row>
    <row r="292" spans="2:18" ht="30" x14ac:dyDescent="0.25">
      <c r="B292" s="122"/>
      <c r="C292" s="25" t="s">
        <v>95</v>
      </c>
      <c r="D292" s="25" t="s">
        <v>108</v>
      </c>
      <c r="E292" s="25" t="s">
        <v>113</v>
      </c>
      <c r="F292" s="27"/>
      <c r="G292" s="26" t="s">
        <v>115</v>
      </c>
      <c r="H292" s="135"/>
      <c r="I292" s="142" t="s">
        <v>4</v>
      </c>
      <c r="J292" s="143">
        <v>1</v>
      </c>
      <c r="K292" s="148">
        <f t="shared" si="43"/>
        <v>0</v>
      </c>
      <c r="L292" s="159"/>
      <c r="M292" s="24">
        <f t="shared" si="41"/>
        <v>1</v>
      </c>
      <c r="N292" s="158"/>
      <c r="O292" s="22"/>
      <c r="P292" s="21">
        <v>0</v>
      </c>
      <c r="Q292" s="20">
        <f t="shared" si="42"/>
        <v>0</v>
      </c>
      <c r="R292" s="19"/>
    </row>
    <row r="293" spans="2:18" ht="30" x14ac:dyDescent="0.25">
      <c r="B293" s="122"/>
      <c r="C293" s="25" t="s">
        <v>95</v>
      </c>
      <c r="D293" s="25" t="s">
        <v>108</v>
      </c>
      <c r="E293" s="25" t="s">
        <v>113</v>
      </c>
      <c r="F293" s="27"/>
      <c r="G293" s="26" t="s">
        <v>114</v>
      </c>
      <c r="H293" s="135"/>
      <c r="I293" s="142" t="s">
        <v>4</v>
      </c>
      <c r="J293" s="143">
        <v>1</v>
      </c>
      <c r="K293" s="148">
        <f t="shared" si="43"/>
        <v>0</v>
      </c>
      <c r="L293" s="159"/>
      <c r="M293" s="24">
        <f t="shared" si="41"/>
        <v>1</v>
      </c>
      <c r="N293" s="158"/>
      <c r="O293" s="22"/>
      <c r="P293" s="21">
        <v>0</v>
      </c>
      <c r="Q293" s="20">
        <f t="shared" si="42"/>
        <v>0</v>
      </c>
      <c r="R293" s="19"/>
    </row>
    <row r="294" spans="2:18" ht="30" x14ac:dyDescent="0.25">
      <c r="B294" s="122"/>
      <c r="C294" s="25" t="s">
        <v>95</v>
      </c>
      <c r="D294" s="25" t="s">
        <v>108</v>
      </c>
      <c r="E294" s="25" t="s">
        <v>113</v>
      </c>
      <c r="F294" s="27"/>
      <c r="G294" s="26" t="s">
        <v>112</v>
      </c>
      <c r="H294" s="135"/>
      <c r="I294" s="142" t="s">
        <v>4</v>
      </c>
      <c r="J294" s="143">
        <v>1</v>
      </c>
      <c r="K294" s="148">
        <f t="shared" si="43"/>
        <v>0</v>
      </c>
      <c r="L294" s="159"/>
      <c r="M294" s="24">
        <f t="shared" si="41"/>
        <v>1</v>
      </c>
      <c r="N294" s="158"/>
      <c r="O294" s="22"/>
      <c r="P294" s="21">
        <v>0</v>
      </c>
      <c r="Q294" s="20">
        <f t="shared" si="42"/>
        <v>0</v>
      </c>
      <c r="R294" s="19"/>
    </row>
    <row r="295" spans="2:18" ht="60" x14ac:dyDescent="0.25">
      <c r="B295" s="122"/>
      <c r="C295" s="25" t="s">
        <v>95</v>
      </c>
      <c r="D295" s="25" t="s">
        <v>108</v>
      </c>
      <c r="E295" s="25" t="s">
        <v>107</v>
      </c>
      <c r="F295" s="27" t="s">
        <v>10</v>
      </c>
      <c r="G295" s="26" t="s">
        <v>111</v>
      </c>
      <c r="H295" s="135"/>
      <c r="I295" s="142" t="s">
        <v>4</v>
      </c>
      <c r="J295" s="143">
        <v>1</v>
      </c>
      <c r="K295" s="148">
        <f t="shared" si="43"/>
        <v>0</v>
      </c>
      <c r="L295" s="159"/>
      <c r="M295" s="24">
        <f t="shared" si="41"/>
        <v>1</v>
      </c>
      <c r="N295" s="158"/>
      <c r="O295" s="22"/>
      <c r="P295" s="21">
        <v>0</v>
      </c>
      <c r="Q295" s="20">
        <f t="shared" si="42"/>
        <v>0</v>
      </c>
      <c r="R295" s="19"/>
    </row>
    <row r="296" spans="2:18" x14ac:dyDescent="0.25">
      <c r="B296" s="122"/>
      <c r="C296" s="25" t="s">
        <v>95</v>
      </c>
      <c r="D296" s="25" t="s">
        <v>108</v>
      </c>
      <c r="E296" s="25" t="s">
        <v>107</v>
      </c>
      <c r="F296" s="27" t="s">
        <v>110</v>
      </c>
      <c r="G296" s="45" t="s">
        <v>109</v>
      </c>
      <c r="H296" s="135"/>
      <c r="I296" s="142" t="s">
        <v>4</v>
      </c>
      <c r="J296" s="143">
        <v>1</v>
      </c>
      <c r="K296" s="148">
        <f t="shared" si="43"/>
        <v>0</v>
      </c>
      <c r="L296" s="159"/>
      <c r="M296" s="24">
        <f t="shared" si="41"/>
        <v>1</v>
      </c>
      <c r="N296" s="158"/>
      <c r="O296" s="22"/>
      <c r="P296" s="21">
        <v>0</v>
      </c>
      <c r="Q296" s="20">
        <f t="shared" si="42"/>
        <v>0</v>
      </c>
      <c r="R296" s="19"/>
    </row>
    <row r="297" spans="2:18" x14ac:dyDescent="0.25">
      <c r="B297" s="122"/>
      <c r="C297" s="25" t="s">
        <v>95</v>
      </c>
      <c r="D297" s="25" t="s">
        <v>108</v>
      </c>
      <c r="E297" s="25" t="s">
        <v>107</v>
      </c>
      <c r="F297" s="27" t="s">
        <v>106</v>
      </c>
      <c r="G297" s="26" t="s">
        <v>105</v>
      </c>
      <c r="H297" s="135"/>
      <c r="I297" s="142" t="s">
        <v>4</v>
      </c>
      <c r="J297" s="143">
        <f>[1]Données!E33</f>
        <v>0</v>
      </c>
      <c r="K297" s="148">
        <f t="shared" si="43"/>
        <v>0</v>
      </c>
      <c r="L297" s="159"/>
      <c r="M297" s="24">
        <f t="shared" si="41"/>
        <v>0</v>
      </c>
      <c r="N297" s="158"/>
      <c r="O297" s="22"/>
      <c r="P297" s="21">
        <v>0</v>
      </c>
      <c r="Q297" s="20">
        <f t="shared" si="42"/>
        <v>0</v>
      </c>
      <c r="R297" s="19"/>
    </row>
    <row r="298" spans="2:18" ht="17.25" x14ac:dyDescent="0.3">
      <c r="H298" s="175"/>
      <c r="J298" s="4"/>
      <c r="L298" s="39"/>
      <c r="N298" s="150"/>
      <c r="O298" s="17" t="e">
        <f>N298/$N$127</f>
        <v>#DIV/0!</v>
      </c>
      <c r="P298" s="16"/>
      <c r="Q298" s="15">
        <f>SUM(Q268:Q297)</f>
        <v>0</v>
      </c>
    </row>
    <row r="299" spans="2:18" x14ac:dyDescent="0.25">
      <c r="H299" s="175"/>
      <c r="L299" s="111"/>
      <c r="N299" s="4"/>
      <c r="P299" s="39"/>
    </row>
    <row r="300" spans="2:18" ht="13.9" customHeight="1" x14ac:dyDescent="0.25">
      <c r="B300" s="122" t="s">
        <v>37</v>
      </c>
      <c r="C300" s="25" t="s">
        <v>95</v>
      </c>
      <c r="D300" s="25" t="s">
        <v>94</v>
      </c>
      <c r="E300" s="25" t="s">
        <v>93</v>
      </c>
      <c r="F300" s="27"/>
      <c r="G300" s="26" t="s">
        <v>104</v>
      </c>
      <c r="H300" s="135"/>
      <c r="I300" s="142" t="s">
        <v>4</v>
      </c>
      <c r="J300" s="143">
        <f>(IF([1]Données!$D$22=G300,1,0))</f>
        <v>0</v>
      </c>
      <c r="K300" s="148">
        <f t="shared" ref="K300:K311" si="44">H300*J300</f>
        <v>0</v>
      </c>
      <c r="L300" s="159">
        <v>0</v>
      </c>
      <c r="M300" s="24">
        <f t="shared" ref="M300:M311" si="45">(J300*L300+J300)</f>
        <v>0</v>
      </c>
      <c r="N300" s="158"/>
      <c r="O300" s="22"/>
      <c r="P300" s="21">
        <v>0</v>
      </c>
      <c r="Q300" s="20">
        <f t="shared" ref="Q300:Q311" si="46">P300*J300</f>
        <v>0</v>
      </c>
      <c r="R300" s="19"/>
    </row>
    <row r="301" spans="2:18" x14ac:dyDescent="0.25">
      <c r="B301" s="122"/>
      <c r="C301" s="25" t="s">
        <v>95</v>
      </c>
      <c r="D301" s="25" t="s">
        <v>94</v>
      </c>
      <c r="E301" s="25" t="s">
        <v>93</v>
      </c>
      <c r="F301" s="27"/>
      <c r="G301" s="26" t="s">
        <v>103</v>
      </c>
      <c r="H301" s="135"/>
      <c r="I301" s="142"/>
      <c r="J301" s="143">
        <f>(IF([1]Données!$D$22=G301,1,0))</f>
        <v>1</v>
      </c>
      <c r="K301" s="148">
        <f t="shared" si="44"/>
        <v>0</v>
      </c>
      <c r="L301" s="159">
        <v>0</v>
      </c>
      <c r="M301" s="24">
        <f t="shared" si="45"/>
        <v>1</v>
      </c>
      <c r="N301" s="158"/>
      <c r="O301" s="22"/>
      <c r="P301" s="21">
        <v>0</v>
      </c>
      <c r="Q301" s="20">
        <f t="shared" si="46"/>
        <v>0</v>
      </c>
      <c r="R301" s="19"/>
    </row>
    <row r="302" spans="2:18" x14ac:dyDescent="0.25">
      <c r="B302" s="122"/>
      <c r="C302" s="25" t="s">
        <v>95</v>
      </c>
      <c r="D302" s="25" t="s">
        <v>94</v>
      </c>
      <c r="E302" s="25" t="s">
        <v>93</v>
      </c>
      <c r="F302" s="27"/>
      <c r="G302" s="26" t="s">
        <v>102</v>
      </c>
      <c r="H302" s="135"/>
      <c r="I302" s="142"/>
      <c r="J302" s="143">
        <f>(IF([1]Données!$D$22=G302,1,0))*([1]Données!K15+1)</f>
        <v>0</v>
      </c>
      <c r="K302" s="148">
        <f t="shared" si="44"/>
        <v>0</v>
      </c>
      <c r="L302" s="159">
        <v>0</v>
      </c>
      <c r="M302" s="24">
        <f t="shared" si="45"/>
        <v>0</v>
      </c>
      <c r="N302" s="158"/>
      <c r="O302" s="22"/>
      <c r="P302" s="21">
        <v>0</v>
      </c>
      <c r="Q302" s="20">
        <f t="shared" si="46"/>
        <v>0</v>
      </c>
      <c r="R302" s="19"/>
    </row>
    <row r="303" spans="2:18" x14ac:dyDescent="0.25">
      <c r="B303" s="122"/>
      <c r="C303" s="25" t="s">
        <v>95</v>
      </c>
      <c r="D303" s="25" t="s">
        <v>94</v>
      </c>
      <c r="E303" s="25" t="s">
        <v>93</v>
      </c>
      <c r="F303" s="27"/>
      <c r="G303" s="26" t="s">
        <v>101</v>
      </c>
      <c r="H303" s="135"/>
      <c r="I303" s="142" t="s">
        <v>96</v>
      </c>
      <c r="J303" s="143">
        <f>(IF([1]Données!$D$22=G303,1,0))</f>
        <v>0</v>
      </c>
      <c r="K303" s="148">
        <f t="shared" si="44"/>
        <v>0</v>
      </c>
      <c r="L303" s="159">
        <v>0</v>
      </c>
      <c r="M303" s="24">
        <f t="shared" si="45"/>
        <v>0</v>
      </c>
      <c r="N303" s="158"/>
      <c r="O303" s="22"/>
      <c r="P303" s="21">
        <v>0</v>
      </c>
      <c r="Q303" s="20">
        <f t="shared" si="46"/>
        <v>0</v>
      </c>
      <c r="R303" s="19"/>
    </row>
    <row r="304" spans="2:18" x14ac:dyDescent="0.25">
      <c r="B304" s="122"/>
      <c r="C304" s="25" t="s">
        <v>95</v>
      </c>
      <c r="D304" s="25" t="s">
        <v>94</v>
      </c>
      <c r="E304" s="25" t="s">
        <v>93</v>
      </c>
      <c r="F304" s="27"/>
      <c r="G304" s="26" t="s">
        <v>100</v>
      </c>
      <c r="H304" s="135"/>
      <c r="I304" s="142"/>
      <c r="J304" s="143">
        <f>(IF([1]Données!$D$22=G304,1,0))</f>
        <v>0</v>
      </c>
      <c r="K304" s="148">
        <f t="shared" si="44"/>
        <v>0</v>
      </c>
      <c r="L304" s="159">
        <v>0</v>
      </c>
      <c r="M304" s="24">
        <f t="shared" si="45"/>
        <v>0</v>
      </c>
      <c r="N304" s="158"/>
      <c r="O304" s="22"/>
      <c r="P304" s="21">
        <v>0</v>
      </c>
      <c r="Q304" s="20">
        <f t="shared" si="46"/>
        <v>0</v>
      </c>
      <c r="R304" s="19"/>
    </row>
    <row r="305" spans="1:18" x14ac:dyDescent="0.25">
      <c r="B305" s="122"/>
      <c r="C305" s="25" t="s">
        <v>95</v>
      </c>
      <c r="D305" s="25" t="s">
        <v>94</v>
      </c>
      <c r="E305" s="25" t="s">
        <v>93</v>
      </c>
      <c r="F305" s="27"/>
      <c r="G305" s="26" t="s">
        <v>99</v>
      </c>
      <c r="H305" s="135"/>
      <c r="I305" s="142"/>
      <c r="J305" s="143">
        <f>(IF([1]Données!$D$22=G305,([1]Données!K15+2),0))</f>
        <v>0</v>
      </c>
      <c r="K305" s="148">
        <f t="shared" si="44"/>
        <v>0</v>
      </c>
      <c r="L305" s="159">
        <v>0</v>
      </c>
      <c r="M305" s="24">
        <f t="shared" si="45"/>
        <v>0</v>
      </c>
      <c r="N305" s="158"/>
      <c r="O305" s="22"/>
      <c r="P305" s="21">
        <v>0</v>
      </c>
      <c r="Q305" s="20">
        <f t="shared" si="46"/>
        <v>0</v>
      </c>
      <c r="R305" s="19"/>
    </row>
    <row r="306" spans="1:18" x14ac:dyDescent="0.25">
      <c r="B306" s="122"/>
      <c r="C306" s="25" t="s">
        <v>95</v>
      </c>
      <c r="D306" s="25" t="s">
        <v>94</v>
      </c>
      <c r="E306" s="25" t="s">
        <v>93</v>
      </c>
      <c r="F306" s="27"/>
      <c r="G306" s="26" t="s">
        <v>98</v>
      </c>
      <c r="H306" s="135"/>
      <c r="I306" s="142" t="s">
        <v>96</v>
      </c>
      <c r="J306" s="143">
        <f>(IF([1]Données!$D$22=G306,1,0))</f>
        <v>0</v>
      </c>
      <c r="K306" s="148">
        <f t="shared" si="44"/>
        <v>0</v>
      </c>
      <c r="L306" s="159">
        <v>0</v>
      </c>
      <c r="M306" s="24">
        <f t="shared" si="45"/>
        <v>0</v>
      </c>
      <c r="N306" s="158"/>
      <c r="O306" s="22"/>
      <c r="P306" s="21">
        <v>0</v>
      </c>
      <c r="Q306" s="20">
        <f t="shared" si="46"/>
        <v>0</v>
      </c>
      <c r="R306" s="19"/>
    </row>
    <row r="307" spans="1:18" x14ac:dyDescent="0.25">
      <c r="B307" s="122"/>
      <c r="C307" s="25" t="s">
        <v>95</v>
      </c>
      <c r="D307" s="25" t="s">
        <v>94</v>
      </c>
      <c r="E307" s="25" t="s">
        <v>93</v>
      </c>
      <c r="F307" s="27"/>
      <c r="G307" s="26" t="s">
        <v>97</v>
      </c>
      <c r="H307" s="135"/>
      <c r="I307" s="142" t="s">
        <v>96</v>
      </c>
      <c r="J307" s="143">
        <f>+J304+IF(J305&gt;0,1,0)+J301+IF(J302&gt;0,1,0)</f>
        <v>1</v>
      </c>
      <c r="K307" s="148">
        <f t="shared" si="44"/>
        <v>0</v>
      </c>
      <c r="L307" s="159">
        <v>0</v>
      </c>
      <c r="M307" s="24">
        <f t="shared" si="45"/>
        <v>1</v>
      </c>
      <c r="N307" s="158"/>
      <c r="O307" s="22"/>
      <c r="P307" s="21">
        <v>0</v>
      </c>
      <c r="Q307" s="20">
        <f t="shared" si="46"/>
        <v>0</v>
      </c>
      <c r="R307" s="19"/>
    </row>
    <row r="308" spans="1:18" ht="30" x14ac:dyDescent="0.25">
      <c r="B308" s="122"/>
      <c r="C308" s="25"/>
      <c r="D308" s="25"/>
      <c r="E308" s="25"/>
      <c r="F308" s="27"/>
      <c r="G308" s="26" t="str">
        <f>CONCATENATE("Instalation ",G300)</f>
        <v>Instalation Chaudière gaz DeDietrich + accessoires</v>
      </c>
      <c r="H308" s="174"/>
      <c r="I308" s="142"/>
      <c r="J308" s="143">
        <f>J300</f>
        <v>0</v>
      </c>
      <c r="K308" s="148">
        <f t="shared" si="44"/>
        <v>0</v>
      </c>
      <c r="L308" s="159">
        <v>0</v>
      </c>
      <c r="M308" s="24">
        <f t="shared" si="45"/>
        <v>0</v>
      </c>
      <c r="N308" s="158"/>
      <c r="O308" s="22"/>
      <c r="P308" s="21">
        <v>0</v>
      </c>
      <c r="Q308" s="20">
        <f t="shared" si="46"/>
        <v>0</v>
      </c>
      <c r="R308" s="19"/>
    </row>
    <row r="309" spans="1:18" x14ac:dyDescent="0.25">
      <c r="B309" s="122"/>
      <c r="C309" s="25"/>
      <c r="D309" s="25"/>
      <c r="E309" s="25"/>
      <c r="F309" s="27"/>
      <c r="G309" s="26" t="str">
        <f>CONCATENATE("Instalation ",G302)</f>
        <v>Instalation Pompe à chaleur Atlantic</v>
      </c>
      <c r="H309" s="174"/>
      <c r="I309" s="142"/>
      <c r="J309" s="143">
        <f>J302</f>
        <v>0</v>
      </c>
      <c r="K309" s="148">
        <f t="shared" si="44"/>
        <v>0</v>
      </c>
      <c r="L309" s="159">
        <v>0</v>
      </c>
      <c r="M309" s="24">
        <f t="shared" si="45"/>
        <v>0</v>
      </c>
      <c r="N309" s="158"/>
      <c r="O309" s="22"/>
      <c r="P309" s="21">
        <v>0</v>
      </c>
      <c r="Q309" s="20">
        <f t="shared" si="46"/>
        <v>0</v>
      </c>
      <c r="R309" s="19"/>
    </row>
    <row r="310" spans="1:18" ht="30" x14ac:dyDescent="0.25">
      <c r="B310" s="122"/>
      <c r="C310" s="25"/>
      <c r="D310" s="25"/>
      <c r="E310" s="25"/>
      <c r="F310" s="27"/>
      <c r="G310" s="26" t="str">
        <f>CONCATENATE("Instalation ",G303)</f>
        <v>Instalation Radiateur + Chauffe eaux Nouméa</v>
      </c>
      <c r="H310" s="174"/>
      <c r="I310" s="142"/>
      <c r="J310" s="165">
        <f>J303</f>
        <v>0</v>
      </c>
      <c r="K310" s="148">
        <f t="shared" si="44"/>
        <v>0</v>
      </c>
      <c r="L310" s="159">
        <v>0</v>
      </c>
      <c r="M310" s="24">
        <f t="shared" si="45"/>
        <v>0</v>
      </c>
      <c r="N310" s="158"/>
      <c r="O310" s="22"/>
      <c r="P310" s="21">
        <v>0</v>
      </c>
      <c r="Q310" s="20">
        <f t="shared" si="46"/>
        <v>0</v>
      </c>
      <c r="R310" s="19"/>
    </row>
    <row r="311" spans="1:18" ht="30" x14ac:dyDescent="0.25">
      <c r="B311" s="122"/>
      <c r="C311" s="25" t="s">
        <v>95</v>
      </c>
      <c r="D311" s="25" t="s">
        <v>94</v>
      </c>
      <c r="E311" s="25" t="s">
        <v>93</v>
      </c>
      <c r="F311" s="27"/>
      <c r="G311" s="26" t="str">
        <f>CONCATENATE("Instalation ",G307)</f>
        <v>Instalation CHAUFFAGE EAU THERMO EDEL AIR 250L</v>
      </c>
      <c r="H311" s="135"/>
      <c r="I311" s="142"/>
      <c r="J311" s="143">
        <f>J307</f>
        <v>1</v>
      </c>
      <c r="K311" s="148">
        <f t="shared" si="44"/>
        <v>0</v>
      </c>
      <c r="L311" s="159">
        <v>0</v>
      </c>
      <c r="M311" s="24">
        <f t="shared" si="45"/>
        <v>1</v>
      </c>
      <c r="N311" s="158"/>
      <c r="O311" s="22"/>
      <c r="P311" s="21">
        <v>0</v>
      </c>
      <c r="Q311" s="20">
        <f t="shared" si="46"/>
        <v>0</v>
      </c>
      <c r="R311" s="19"/>
    </row>
    <row r="312" spans="1:18" ht="19.5" x14ac:dyDescent="0.3">
      <c r="C312" s="41" t="s">
        <v>92</v>
      </c>
      <c r="D312" s="40"/>
      <c r="G312" s="9"/>
      <c r="H312" s="39"/>
      <c r="L312" s="39"/>
      <c r="P312" s="39"/>
    </row>
    <row r="313" spans="1:18" ht="13.9" customHeight="1" x14ac:dyDescent="0.25">
      <c r="A313" s="2" t="s">
        <v>91</v>
      </c>
      <c r="B313" s="1"/>
      <c r="C313" s="134" t="s">
        <v>90</v>
      </c>
      <c r="D313" s="134"/>
      <c r="E313" s="134"/>
      <c r="F313" s="134"/>
      <c r="G313" s="36"/>
      <c r="H313" s="34"/>
      <c r="I313" s="32"/>
      <c r="J313" s="32"/>
      <c r="K313" s="32"/>
      <c r="L313" s="34"/>
      <c r="M313" s="35"/>
      <c r="N313" s="33"/>
      <c r="O313" s="33"/>
      <c r="P313" s="34"/>
      <c r="Q313" s="32"/>
      <c r="R313" s="32"/>
    </row>
    <row r="314" spans="1:18" x14ac:dyDescent="0.25">
      <c r="A314" s="1" t="s">
        <v>89</v>
      </c>
      <c r="B314" s="1"/>
      <c r="C314" s="38" t="s">
        <v>88</v>
      </c>
      <c r="D314" s="38" t="s">
        <v>87</v>
      </c>
      <c r="E314" s="38" t="s">
        <v>86</v>
      </c>
      <c r="F314" s="37" t="s">
        <v>85</v>
      </c>
      <c r="G314" s="36" t="s">
        <v>84</v>
      </c>
      <c r="H314" s="34"/>
      <c r="I314" s="32"/>
      <c r="J314" s="166"/>
      <c r="K314" s="32"/>
      <c r="L314" s="34"/>
      <c r="M314" s="35"/>
      <c r="N314" s="33"/>
      <c r="O314" s="33"/>
      <c r="P314" s="34"/>
      <c r="Q314" s="32"/>
      <c r="R314" s="32"/>
    </row>
    <row r="315" spans="1:18" ht="25.5" x14ac:dyDescent="0.25">
      <c r="A315" s="2" t="str">
        <f>B315</f>
        <v>Menuiserie extérieures</v>
      </c>
      <c r="B315" s="28" t="s">
        <v>83</v>
      </c>
      <c r="C315" s="25" t="str">
        <f t="shared" ref="C315:C346" ca="1" si="47">CELL("address",G315)</f>
        <v>$G$315</v>
      </c>
      <c r="D315" s="25" t="s">
        <v>79</v>
      </c>
      <c r="E315" s="25" t="s">
        <v>82</v>
      </c>
      <c r="F315" s="27"/>
      <c r="G315" s="26" t="str">
        <f t="shared" ref="G315:G333" si="48">+CONCATENATE(D315," ",E315)</f>
        <v>Fenêtre 1600x1250 avec VR</v>
      </c>
      <c r="H315" s="174"/>
      <c r="I315" s="142" t="e">
        <f>#REF!</f>
        <v>#REF!</v>
      </c>
      <c r="J315" s="143">
        <f>IF(ISERROR((VLOOKUP(G315,[1]Données!$P$15:$Q$44,2,0))="#N/D"),0,(VLOOKUP(G315,[1]Données!$P$15:$Q$44,2,0)))</f>
        <v>0</v>
      </c>
      <c r="K315" s="148">
        <f t="shared" ref="K315:K336" si="49">H315*J315</f>
        <v>0</v>
      </c>
      <c r="L315" s="159">
        <v>0</v>
      </c>
      <c r="M315" s="24">
        <f t="shared" ref="M315:M336" si="50">(J315*L315+J315)</f>
        <v>0</v>
      </c>
      <c r="N315" s="29">
        <f t="shared" ref="N315:N336" si="51">K315+K315*L315</f>
        <v>0</v>
      </c>
      <c r="O315" s="22"/>
      <c r="P315" s="21">
        <v>0</v>
      </c>
      <c r="Q315" s="20">
        <f t="shared" ref="Q315:Q346" si="52">P315*J315</f>
        <v>0</v>
      </c>
      <c r="R315" s="19" t="e">
        <f>IF(#REF!=0,,(SUM(P315)*24*Quantitatif!#REF!/(1-Quantitatif!#REF!))/#REF!)</f>
        <v>#REF!</v>
      </c>
    </row>
    <row r="316" spans="1:18" ht="25.5" x14ac:dyDescent="0.25">
      <c r="A316" s="2" t="str">
        <f>B339</f>
        <v>Bardage</v>
      </c>
      <c r="B316" s="28" t="str">
        <f t="shared" ref="B316:B338" si="53">B315</f>
        <v>Menuiserie extérieures</v>
      </c>
      <c r="C316" s="25" t="str">
        <f t="shared" ca="1" si="47"/>
        <v>$G$316</v>
      </c>
      <c r="D316" s="25" t="s">
        <v>79</v>
      </c>
      <c r="E316" s="25" t="s">
        <v>81</v>
      </c>
      <c r="F316" s="27"/>
      <c r="G316" s="26" t="str">
        <f t="shared" si="48"/>
        <v>Fenêtre 900x1250 avec VR</v>
      </c>
      <c r="H316" s="174"/>
      <c r="I316" s="142" t="e">
        <f>#REF!</f>
        <v>#REF!</v>
      </c>
      <c r="J316" s="143">
        <f>IF(ISERROR((VLOOKUP(G316,[1]Données!$P$15:$Q$44,2,0))="#N/D"),0,(VLOOKUP(G316,[1]Données!$P$15:$Q$44,2,0)))</f>
        <v>0</v>
      </c>
      <c r="K316" s="148">
        <f t="shared" si="49"/>
        <v>0</v>
      </c>
      <c r="L316" s="159">
        <v>0</v>
      </c>
      <c r="M316" s="24">
        <f t="shared" si="50"/>
        <v>0</v>
      </c>
      <c r="N316" s="29">
        <f t="shared" si="51"/>
        <v>0</v>
      </c>
      <c r="O316" s="22"/>
      <c r="P316" s="21">
        <v>0</v>
      </c>
      <c r="Q316" s="20">
        <f t="shared" si="52"/>
        <v>0</v>
      </c>
      <c r="R316" s="19" t="e">
        <f>IF(#REF!=0,,(SUM(P316)*24*Quantitatif!#REF!/(1-Quantitatif!#REF!))/#REF!)</f>
        <v>#REF!</v>
      </c>
    </row>
    <row r="317" spans="1:18" ht="25.5" x14ac:dyDescent="0.25">
      <c r="A317" s="2" t="str">
        <f>B345</f>
        <v>Terrasse</v>
      </c>
      <c r="B317" s="28" t="str">
        <f t="shared" si="53"/>
        <v>Menuiserie extérieures</v>
      </c>
      <c r="C317" s="25" t="str">
        <f t="shared" ca="1" si="47"/>
        <v>$G$317</v>
      </c>
      <c r="D317" s="25" t="s">
        <v>79</v>
      </c>
      <c r="E317" s="25" t="s">
        <v>80</v>
      </c>
      <c r="F317" s="27"/>
      <c r="G317" s="26" t="str">
        <f t="shared" si="48"/>
        <v>Fenêtre 900x1050 avec VR</v>
      </c>
      <c r="H317" s="174"/>
      <c r="I317" s="142" t="e">
        <f>#REF!</f>
        <v>#REF!</v>
      </c>
      <c r="J317" s="143">
        <f>IF(ISERROR((VLOOKUP(G317,[1]Données!$P$15:$Q$44,2,0))="#N/D"),0,(VLOOKUP(G317,[1]Données!$P$15:$Q$44,2,0)))</f>
        <v>0</v>
      </c>
      <c r="K317" s="148">
        <f t="shared" si="49"/>
        <v>0</v>
      </c>
      <c r="L317" s="159">
        <v>0</v>
      </c>
      <c r="M317" s="24">
        <f t="shared" si="50"/>
        <v>0</v>
      </c>
      <c r="N317" s="29">
        <f t="shared" si="51"/>
        <v>0</v>
      </c>
      <c r="O317" s="22"/>
      <c r="P317" s="21">
        <v>0</v>
      </c>
      <c r="Q317" s="20">
        <f t="shared" si="52"/>
        <v>0</v>
      </c>
      <c r="R317" s="19" t="e">
        <f>IF(#REF!=0,,(SUM(P317)*24*Quantitatif!#REF!/(1-Quantitatif!#REF!))/#REF!)</f>
        <v>#REF!</v>
      </c>
    </row>
    <row r="318" spans="1:18" ht="25.5" x14ac:dyDescent="0.25">
      <c r="A318" s="2" t="str">
        <f>B356</f>
        <v>Chauffage</v>
      </c>
      <c r="B318" s="28" t="str">
        <f t="shared" si="53"/>
        <v>Menuiserie extérieures</v>
      </c>
      <c r="C318" s="25" t="str">
        <f t="shared" ca="1" si="47"/>
        <v>$G$318</v>
      </c>
      <c r="D318" s="25" t="s">
        <v>79</v>
      </c>
      <c r="E318" s="25" t="s">
        <v>78</v>
      </c>
      <c r="F318" s="27"/>
      <c r="G318" s="26" t="str">
        <f t="shared" si="48"/>
        <v>Fenêtre 500x650 avec VR</v>
      </c>
      <c r="H318" s="174"/>
      <c r="I318" s="142" t="e">
        <f>#REF!</f>
        <v>#REF!</v>
      </c>
      <c r="J318" s="143">
        <f>IF(ISERROR((VLOOKUP(G318,[1]Données!$P$15:$Q$44,2,0))="#N/D"),0,(VLOOKUP(G318,[1]Données!$P$15:$Q$44,2,0)))</f>
        <v>0</v>
      </c>
      <c r="K318" s="148">
        <f t="shared" si="49"/>
        <v>0</v>
      </c>
      <c r="L318" s="159">
        <v>0</v>
      </c>
      <c r="M318" s="24">
        <f t="shared" si="50"/>
        <v>0</v>
      </c>
      <c r="N318" s="29">
        <f t="shared" si="51"/>
        <v>0</v>
      </c>
      <c r="O318" s="22"/>
      <c r="P318" s="21">
        <v>0</v>
      </c>
      <c r="Q318" s="20">
        <f t="shared" si="52"/>
        <v>0</v>
      </c>
      <c r="R318" s="19" t="e">
        <f>IF(#REF!=0,,(SUM(P318)*24*Quantitatif!#REF!/(1-Quantitatif!#REF!))/#REF!)</f>
        <v>#REF!</v>
      </c>
    </row>
    <row r="319" spans="1:18" ht="25.5" x14ac:dyDescent="0.25">
      <c r="A319" s="2" t="str">
        <f>B362</f>
        <v>Sanitaire</v>
      </c>
      <c r="B319" s="28" t="str">
        <f t="shared" si="53"/>
        <v>Menuiserie extérieures</v>
      </c>
      <c r="C319" s="25" t="str">
        <f t="shared" ca="1" si="47"/>
        <v>$G$319</v>
      </c>
      <c r="D319" s="25" t="s">
        <v>72</v>
      </c>
      <c r="E319" s="25" t="s">
        <v>77</v>
      </c>
      <c r="F319" s="27"/>
      <c r="G319" s="26" t="str">
        <f t="shared" si="48"/>
        <v>Fenêtre coulissante 2400x850 avec VR</v>
      </c>
      <c r="H319" s="174"/>
      <c r="I319" s="142" t="e">
        <f>#REF!</f>
        <v>#REF!</v>
      </c>
      <c r="J319" s="143">
        <f>IF(ISERROR((VLOOKUP(G319,[1]Données!$P$15:$Q$44,2,0))="#N/D"),0,(VLOOKUP(G319,[1]Données!$P$15:$Q$44,2,0)))</f>
        <v>0</v>
      </c>
      <c r="K319" s="148">
        <f t="shared" si="49"/>
        <v>0</v>
      </c>
      <c r="L319" s="159">
        <v>0</v>
      </c>
      <c r="M319" s="24">
        <f t="shared" si="50"/>
        <v>0</v>
      </c>
      <c r="N319" s="29">
        <f t="shared" si="51"/>
        <v>0</v>
      </c>
      <c r="O319" s="22"/>
      <c r="P319" s="21">
        <v>0</v>
      </c>
      <c r="Q319" s="20">
        <f t="shared" si="52"/>
        <v>0</v>
      </c>
      <c r="R319" s="19" t="e">
        <f>IF(#REF!=0,,(SUM(P319)*24*Quantitatif!#REF!/(1-Quantitatif!#REF!))/#REF!)</f>
        <v>#REF!</v>
      </c>
    </row>
    <row r="320" spans="1:18" ht="25.5" x14ac:dyDescent="0.25">
      <c r="A320" s="2" t="str">
        <f>B384</f>
        <v>Escalier</v>
      </c>
      <c r="B320" s="28" t="str">
        <f t="shared" si="53"/>
        <v>Menuiserie extérieures</v>
      </c>
      <c r="C320" s="25" t="str">
        <f t="shared" ca="1" si="47"/>
        <v>$G$320</v>
      </c>
      <c r="D320" s="25" t="s">
        <v>72</v>
      </c>
      <c r="E320" s="25" t="s">
        <v>76</v>
      </c>
      <c r="F320" s="27"/>
      <c r="G320" s="26" t="str">
        <f t="shared" si="48"/>
        <v>Fenêtre coulissante 1800x1250 avec VR</v>
      </c>
      <c r="H320" s="174"/>
      <c r="I320" s="142" t="e">
        <f>#REF!</f>
        <v>#REF!</v>
      </c>
      <c r="J320" s="143">
        <f>IF(ISERROR((VLOOKUP(G320,[1]Données!$P$15:$Q$44,2,0))="#N/D"),0,(VLOOKUP(G320,[1]Données!$P$15:$Q$44,2,0)))</f>
        <v>0</v>
      </c>
      <c r="K320" s="148">
        <f t="shared" si="49"/>
        <v>0</v>
      </c>
      <c r="L320" s="159">
        <v>0</v>
      </c>
      <c r="M320" s="24">
        <f t="shared" si="50"/>
        <v>0</v>
      </c>
      <c r="N320" s="29">
        <f t="shared" si="51"/>
        <v>0</v>
      </c>
      <c r="O320" s="22"/>
      <c r="P320" s="21">
        <v>0</v>
      </c>
      <c r="Q320" s="20">
        <f t="shared" si="52"/>
        <v>0</v>
      </c>
      <c r="R320" s="19" t="e">
        <f>IF(#REF!=0,,(SUM(P320)*24*Quantitatif!#REF!/(1-Quantitatif!#REF!))/#REF!)</f>
        <v>#REF!</v>
      </c>
    </row>
    <row r="321" spans="1:18" ht="25.5" x14ac:dyDescent="0.25">
      <c r="A321" s="1" t="str">
        <f>B387</f>
        <v>Électricité</v>
      </c>
      <c r="B321" s="28" t="str">
        <f t="shared" si="53"/>
        <v>Menuiserie extérieures</v>
      </c>
      <c r="C321" s="25" t="str">
        <f t="shared" ca="1" si="47"/>
        <v>$G$321</v>
      </c>
      <c r="D321" s="25" t="s">
        <v>72</v>
      </c>
      <c r="E321" s="25" t="s">
        <v>75</v>
      </c>
      <c r="F321" s="27"/>
      <c r="G321" s="26" t="str">
        <f t="shared" si="48"/>
        <v>Fenêtre coulissante 1600x1050 avec VR</v>
      </c>
      <c r="H321" s="174"/>
      <c r="I321" s="142" t="e">
        <f>#REF!</f>
        <v>#REF!</v>
      </c>
      <c r="J321" s="143">
        <f>IF(ISERROR((VLOOKUP(G321,[1]Données!$P$15:$Q$44,2,0))="#N/D"),0,(VLOOKUP(G321,[1]Données!$P$15:$Q$44,2,0)))</f>
        <v>0</v>
      </c>
      <c r="K321" s="148">
        <f t="shared" si="49"/>
        <v>0</v>
      </c>
      <c r="L321" s="159">
        <v>0</v>
      </c>
      <c r="M321" s="24">
        <f t="shared" si="50"/>
        <v>0</v>
      </c>
      <c r="N321" s="29">
        <f t="shared" si="51"/>
        <v>0</v>
      </c>
      <c r="O321" s="22"/>
      <c r="P321" s="21">
        <v>0</v>
      </c>
      <c r="Q321" s="20">
        <f t="shared" si="52"/>
        <v>0</v>
      </c>
      <c r="R321" s="19" t="e">
        <f>IF(#REF!=0,,(SUM(P321)*24*Quantitatif!#REF!/(1-Quantitatif!#REF!))/#REF!)</f>
        <v>#REF!</v>
      </c>
    </row>
    <row r="322" spans="1:18" ht="25.5" x14ac:dyDescent="0.25">
      <c r="A322" s="1" t="str">
        <f>B397</f>
        <v>Terrassement</v>
      </c>
      <c r="B322" s="28" t="str">
        <f t="shared" si="53"/>
        <v>Menuiserie extérieures</v>
      </c>
      <c r="C322" s="25" t="str">
        <f t="shared" ca="1" si="47"/>
        <v>$G$322</v>
      </c>
      <c r="D322" s="25" t="s">
        <v>72</v>
      </c>
      <c r="E322" s="25" t="s">
        <v>74</v>
      </c>
      <c r="F322" s="27"/>
      <c r="G322" s="26" t="str">
        <f t="shared" si="48"/>
        <v>Fenêtre coulissante 1600x850 avec VR</v>
      </c>
      <c r="H322" s="174"/>
      <c r="I322" s="142" t="e">
        <f>#REF!</f>
        <v>#REF!</v>
      </c>
      <c r="J322" s="143">
        <f>IF(ISERROR((VLOOKUP(G322,[1]Données!$P$15:$Q$44,2,0))="#N/D"),0,(VLOOKUP(G322,[1]Données!$P$15:$Q$44,2,0)))</f>
        <v>0</v>
      </c>
      <c r="K322" s="148">
        <f t="shared" si="49"/>
        <v>0</v>
      </c>
      <c r="L322" s="159">
        <v>0</v>
      </c>
      <c r="M322" s="24">
        <f t="shared" si="50"/>
        <v>0</v>
      </c>
      <c r="N322" s="29">
        <f t="shared" si="51"/>
        <v>0</v>
      </c>
      <c r="O322" s="22"/>
      <c r="P322" s="21">
        <v>0</v>
      </c>
      <c r="Q322" s="20">
        <f t="shared" si="52"/>
        <v>0</v>
      </c>
      <c r="R322" s="19" t="e">
        <f>IF(#REF!=0,,(SUM(P322)*24*Quantitatif!#REF!/(1-Quantitatif!#REF!))/#REF!)</f>
        <v>#REF!</v>
      </c>
    </row>
    <row r="323" spans="1:18" ht="25.5" x14ac:dyDescent="0.25">
      <c r="A323" s="1"/>
      <c r="B323" s="28" t="str">
        <f t="shared" si="53"/>
        <v>Menuiserie extérieures</v>
      </c>
      <c r="C323" s="25" t="str">
        <f t="shared" ca="1" si="47"/>
        <v>$G$323</v>
      </c>
      <c r="D323" s="25" t="s">
        <v>72</v>
      </c>
      <c r="E323" s="25" t="s">
        <v>73</v>
      </c>
      <c r="F323" s="27"/>
      <c r="G323" s="26" t="str">
        <f t="shared" si="48"/>
        <v>Fenêtre coulissante 1400x1050 avec VR</v>
      </c>
      <c r="H323" s="174"/>
      <c r="I323" s="142" t="e">
        <f>#REF!</f>
        <v>#REF!</v>
      </c>
      <c r="J323" s="143">
        <f>IF(ISERROR((VLOOKUP(G323,[1]Données!$P$15:$Q$44,2,0))="#N/D"),0,(VLOOKUP(G323,[1]Données!$P$15:$Q$44,2,0)))</f>
        <v>0</v>
      </c>
      <c r="K323" s="148">
        <f t="shared" si="49"/>
        <v>0</v>
      </c>
      <c r="L323" s="159">
        <v>0</v>
      </c>
      <c r="M323" s="24">
        <f t="shared" si="50"/>
        <v>0</v>
      </c>
      <c r="N323" s="29">
        <f t="shared" si="51"/>
        <v>0</v>
      </c>
      <c r="O323" s="22"/>
      <c r="P323" s="21">
        <v>0</v>
      </c>
      <c r="Q323" s="20">
        <f t="shared" si="52"/>
        <v>0</v>
      </c>
      <c r="R323" s="19" t="e">
        <f>IF(#REF!=0,,(SUM(P323)*24*Quantitatif!#REF!/(1-Quantitatif!#REF!))/#REF!)</f>
        <v>#REF!</v>
      </c>
    </row>
    <row r="324" spans="1:18" ht="25.5" x14ac:dyDescent="0.25">
      <c r="B324" s="28" t="str">
        <f t="shared" si="53"/>
        <v>Menuiserie extérieures</v>
      </c>
      <c r="C324" s="25" t="str">
        <f t="shared" ca="1" si="47"/>
        <v>$G$324</v>
      </c>
      <c r="D324" s="25" t="s">
        <v>72</v>
      </c>
      <c r="E324" s="25" t="s">
        <v>71</v>
      </c>
      <c r="F324" s="27"/>
      <c r="G324" s="26" t="str">
        <f t="shared" si="48"/>
        <v>Fenêtre coulissante 1400x950 avec VR</v>
      </c>
      <c r="H324" s="174"/>
      <c r="I324" s="142" t="e">
        <f>#REF!</f>
        <v>#REF!</v>
      </c>
      <c r="J324" s="143">
        <f>IF(ISERROR((VLOOKUP(G324,[1]Données!$P$15:$Q$44,2,0))="#N/D"),0,(VLOOKUP(G324,[1]Données!$P$15:$Q$44,2,0)))</f>
        <v>0</v>
      </c>
      <c r="K324" s="148">
        <f t="shared" si="49"/>
        <v>0</v>
      </c>
      <c r="L324" s="159">
        <v>0</v>
      </c>
      <c r="M324" s="24">
        <f t="shared" si="50"/>
        <v>0</v>
      </c>
      <c r="N324" s="29">
        <f t="shared" si="51"/>
        <v>0</v>
      </c>
      <c r="O324" s="22"/>
      <c r="P324" s="21">
        <v>0</v>
      </c>
      <c r="Q324" s="20">
        <f t="shared" si="52"/>
        <v>0</v>
      </c>
      <c r="R324" s="19" t="e">
        <f>IF(#REF!=0,,(SUM(P324)*24*Quantitatif!#REF!/(1-Quantitatif!#REF!))/#REF!)</f>
        <v>#REF!</v>
      </c>
    </row>
    <row r="325" spans="1:18" ht="25.5" x14ac:dyDescent="0.25">
      <c r="B325" s="28" t="str">
        <f t="shared" si="53"/>
        <v>Menuiserie extérieures</v>
      </c>
      <c r="C325" s="25" t="str">
        <f t="shared" ca="1" si="47"/>
        <v>$G$325</v>
      </c>
      <c r="D325" s="25" t="s">
        <v>69</v>
      </c>
      <c r="E325" s="25" t="s">
        <v>70</v>
      </c>
      <c r="F325" s="27"/>
      <c r="G325" s="26" t="str">
        <f t="shared" si="48"/>
        <v>Baie coulissante 3000x2150 avec VR</v>
      </c>
      <c r="H325" s="174"/>
      <c r="I325" s="142" t="e">
        <f>#REF!</f>
        <v>#REF!</v>
      </c>
      <c r="J325" s="143">
        <f>IF(ISERROR((VLOOKUP(G325,[1]Données!$P$15:$Q$44,2,0))="#N/D"),0,(VLOOKUP(G325,[1]Données!$P$15:$Q$44,2,0)))</f>
        <v>0</v>
      </c>
      <c r="K325" s="148">
        <f t="shared" si="49"/>
        <v>0</v>
      </c>
      <c r="L325" s="159">
        <v>0</v>
      </c>
      <c r="M325" s="24">
        <f t="shared" si="50"/>
        <v>0</v>
      </c>
      <c r="N325" s="29">
        <f t="shared" si="51"/>
        <v>0</v>
      </c>
      <c r="O325" s="22"/>
      <c r="P325" s="21">
        <v>0</v>
      </c>
      <c r="Q325" s="20">
        <f t="shared" si="52"/>
        <v>0</v>
      </c>
      <c r="R325" s="19" t="e">
        <f>IF(#REF!=0,,(SUM(P325)*24*Quantitatif!#REF!/(1-Quantitatif!#REF!))/#REF!)</f>
        <v>#REF!</v>
      </c>
    </row>
    <row r="326" spans="1:18" ht="25.5" x14ac:dyDescent="0.25">
      <c r="B326" s="28" t="str">
        <f t="shared" si="53"/>
        <v>Menuiserie extérieures</v>
      </c>
      <c r="C326" s="25" t="str">
        <f t="shared" ca="1" si="47"/>
        <v>$G$326</v>
      </c>
      <c r="D326" s="25" t="s">
        <v>69</v>
      </c>
      <c r="E326" s="25" t="s">
        <v>68</v>
      </c>
      <c r="F326" s="27"/>
      <c r="G326" s="26" t="str">
        <f t="shared" si="48"/>
        <v>Baie coulissante 2000x2150 avec VR</v>
      </c>
      <c r="H326" s="174"/>
      <c r="I326" s="142" t="e">
        <f>#REF!</f>
        <v>#REF!</v>
      </c>
      <c r="J326" s="143">
        <f>IF(ISERROR((VLOOKUP(G326,[1]Données!$P$15:$Q$44,2,0))="#N/D"),0,(VLOOKUP(G326,[1]Données!$P$15:$Q$44,2,0)))</f>
        <v>0</v>
      </c>
      <c r="K326" s="148">
        <f t="shared" si="49"/>
        <v>0</v>
      </c>
      <c r="L326" s="159">
        <v>0</v>
      </c>
      <c r="M326" s="24">
        <f t="shared" si="50"/>
        <v>0</v>
      </c>
      <c r="N326" s="29">
        <f t="shared" si="51"/>
        <v>0</v>
      </c>
      <c r="O326" s="22"/>
      <c r="P326" s="21">
        <v>0</v>
      </c>
      <c r="Q326" s="20">
        <f t="shared" si="52"/>
        <v>0</v>
      </c>
      <c r="R326" s="19" t="e">
        <f>IF(#REF!=0,,(SUM(P326)*24*Quantitatif!#REF!/(1-Quantitatif!#REF!))/#REF!)</f>
        <v>#REF!</v>
      </c>
    </row>
    <row r="327" spans="1:18" ht="25.5" x14ac:dyDescent="0.25">
      <c r="B327" s="28" t="str">
        <f t="shared" si="53"/>
        <v>Menuiserie extérieures</v>
      </c>
      <c r="C327" s="25" t="str">
        <f t="shared" ca="1" si="47"/>
        <v>$G$327</v>
      </c>
      <c r="D327" s="25" t="s">
        <v>67</v>
      </c>
      <c r="E327" s="25" t="s">
        <v>66</v>
      </c>
      <c r="F327" s="27"/>
      <c r="G327" s="26" t="str">
        <f t="shared" si="48"/>
        <v>Porte fenêtre 1600x2150 avec VR</v>
      </c>
      <c r="H327" s="174"/>
      <c r="I327" s="142" t="e">
        <f>#REF!</f>
        <v>#REF!</v>
      </c>
      <c r="J327" s="143">
        <f>IF(ISERROR((VLOOKUP(G327,[1]Données!$P$15:$Q$44,2,0))="#N/D"),0,(VLOOKUP(G327,[1]Données!$P$15:$Q$44,2,0)))</f>
        <v>0</v>
      </c>
      <c r="K327" s="148">
        <f t="shared" si="49"/>
        <v>0</v>
      </c>
      <c r="L327" s="159">
        <v>0</v>
      </c>
      <c r="M327" s="24">
        <f t="shared" si="50"/>
        <v>0</v>
      </c>
      <c r="N327" s="29">
        <f t="shared" si="51"/>
        <v>0</v>
      </c>
      <c r="O327" s="22"/>
      <c r="P327" s="21">
        <v>0</v>
      </c>
      <c r="Q327" s="20">
        <f t="shared" si="52"/>
        <v>0</v>
      </c>
      <c r="R327" s="19" t="e">
        <f>IF(#REF!=0,,(SUM(P327)*24*Quantitatif!#REF!/(1-Quantitatif!#REF!))/#REF!)</f>
        <v>#REF!</v>
      </c>
    </row>
    <row r="328" spans="1:18" ht="25.5" x14ac:dyDescent="0.25">
      <c r="B328" s="28" t="str">
        <f t="shared" si="53"/>
        <v>Menuiserie extérieures</v>
      </c>
      <c r="C328" s="25" t="str">
        <f t="shared" ca="1" si="47"/>
        <v>$G$328</v>
      </c>
      <c r="D328" s="25" t="s">
        <v>65</v>
      </c>
      <c r="E328" s="25" t="s">
        <v>64</v>
      </c>
      <c r="F328" s="27"/>
      <c r="G328" s="26" t="str">
        <f t="shared" si="48"/>
        <v>Chassis Fixe 1200x450 sans VR</v>
      </c>
      <c r="H328" s="174"/>
      <c r="I328" s="142" t="e">
        <f>#REF!</f>
        <v>#REF!</v>
      </c>
      <c r="J328" s="143">
        <f>IF(ISERROR((VLOOKUP(G328,[1]Données!$P$15:$Q$44,2,0))="#N/D"),0,(VLOOKUP(G328,[1]Données!$P$15:$Q$44,2,0)))</f>
        <v>0</v>
      </c>
      <c r="K328" s="148">
        <f t="shared" si="49"/>
        <v>0</v>
      </c>
      <c r="L328" s="159">
        <v>0</v>
      </c>
      <c r="M328" s="24">
        <f t="shared" si="50"/>
        <v>0</v>
      </c>
      <c r="N328" s="29">
        <f t="shared" si="51"/>
        <v>0</v>
      </c>
      <c r="O328" s="22"/>
      <c r="P328" s="21">
        <v>0</v>
      </c>
      <c r="Q328" s="20">
        <f t="shared" si="52"/>
        <v>0</v>
      </c>
      <c r="R328" s="19" t="e">
        <f>IF(#REF!=0,,(SUM(P328)*24*Quantitatif!#REF!/(1-Quantitatif!#REF!))/#REF!)</f>
        <v>#REF!</v>
      </c>
    </row>
    <row r="329" spans="1:18" ht="30" x14ac:dyDescent="0.25">
      <c r="B329" s="28" t="str">
        <f t="shared" si="53"/>
        <v>Menuiserie extérieures</v>
      </c>
      <c r="C329" s="25" t="str">
        <f t="shared" ca="1" si="47"/>
        <v>$G$329</v>
      </c>
      <c r="D329" s="25" t="s">
        <v>62</v>
      </c>
      <c r="E329" s="25" t="s">
        <v>63</v>
      </c>
      <c r="F329" s="27"/>
      <c r="G329" s="26" t="str">
        <f t="shared" si="48"/>
        <v>Porte d’entrée ouvrant exterieur 900x2150 alu</v>
      </c>
      <c r="H329" s="174"/>
      <c r="I329" s="142" t="e">
        <f>#REF!</f>
        <v>#REF!</v>
      </c>
      <c r="J329" s="143">
        <f>IF(ISERROR((VLOOKUP(G329,[1]Données!$P$15:$Q$44,2,0))="#N/D"),0,(VLOOKUP(G329,[1]Données!$P$15:$Q$44,2,0)))</f>
        <v>0</v>
      </c>
      <c r="K329" s="148">
        <f t="shared" si="49"/>
        <v>0</v>
      </c>
      <c r="L329" s="159">
        <v>0</v>
      </c>
      <c r="M329" s="24">
        <f t="shared" si="50"/>
        <v>0</v>
      </c>
      <c r="N329" s="29">
        <f t="shared" si="51"/>
        <v>0</v>
      </c>
      <c r="O329" s="22"/>
      <c r="P329" s="21">
        <v>0</v>
      </c>
      <c r="Q329" s="20">
        <f t="shared" si="52"/>
        <v>0</v>
      </c>
      <c r="R329" s="19" t="e">
        <f>IF(#REF!=0,,(SUM(P329)*24*Quantitatif!#REF!/(1-Quantitatif!#REF!))/#REF!)</f>
        <v>#REF!</v>
      </c>
    </row>
    <row r="330" spans="1:18" ht="30" x14ac:dyDescent="0.25">
      <c r="B330" s="28" t="str">
        <f t="shared" si="53"/>
        <v>Menuiserie extérieures</v>
      </c>
      <c r="C330" s="25" t="str">
        <f t="shared" ca="1" si="47"/>
        <v>$G$330</v>
      </c>
      <c r="D330" s="25" t="s">
        <v>62</v>
      </c>
      <c r="E330" s="25" t="s">
        <v>61</v>
      </c>
      <c r="F330" s="27"/>
      <c r="G330" s="26" t="str">
        <f t="shared" si="48"/>
        <v>Porte d’entrée ouvrant exterieur 1000x2150 alu</v>
      </c>
      <c r="H330" s="174"/>
      <c r="I330" s="142" t="e">
        <f>#REF!</f>
        <v>#REF!</v>
      </c>
      <c r="J330" s="143">
        <f>IF(ISERROR((VLOOKUP(G330,[1]Données!$P$15:$Q$44,2,0))="#N/D"),0,(VLOOKUP(G330,[1]Données!$P$15:$Q$44,2,0)))</f>
        <v>0</v>
      </c>
      <c r="K330" s="148">
        <f t="shared" si="49"/>
        <v>0</v>
      </c>
      <c r="L330" s="159">
        <v>0</v>
      </c>
      <c r="M330" s="24">
        <f t="shared" si="50"/>
        <v>0</v>
      </c>
      <c r="N330" s="29">
        <f t="shared" si="51"/>
        <v>0</v>
      </c>
      <c r="O330" s="22"/>
      <c r="P330" s="21">
        <v>0</v>
      </c>
      <c r="Q330" s="20">
        <f t="shared" si="52"/>
        <v>0</v>
      </c>
      <c r="R330" s="19" t="e">
        <f>IF(#REF!=0,,(SUM(P330)*24*Quantitatif!#REF!/(1-Quantitatif!#REF!))/#REF!)</f>
        <v>#REF!</v>
      </c>
    </row>
    <row r="331" spans="1:18" ht="25.5" x14ac:dyDescent="0.25">
      <c r="B331" s="28" t="str">
        <f t="shared" si="53"/>
        <v>Menuiserie extérieures</v>
      </c>
      <c r="C331" s="25" t="str">
        <f t="shared" ca="1" si="47"/>
        <v>$G$331</v>
      </c>
      <c r="D331" s="25" t="s">
        <v>60</v>
      </c>
      <c r="E331" s="25" t="s">
        <v>59</v>
      </c>
      <c r="F331" s="27"/>
      <c r="G331" s="26" t="str">
        <f t="shared" si="48"/>
        <v>Porte de service 900x2150</v>
      </c>
      <c r="H331" s="174"/>
      <c r="I331" s="142" t="e">
        <f>#REF!</f>
        <v>#REF!</v>
      </c>
      <c r="J331" s="143">
        <f>IF(ISERROR((VLOOKUP(G331,[1]Données!$P$15:$Q$44,2,0))="#N/D"),0,(VLOOKUP(G331,[1]Données!$P$15:$Q$44,2,0)))</f>
        <v>0</v>
      </c>
      <c r="K331" s="148">
        <f t="shared" si="49"/>
        <v>0</v>
      </c>
      <c r="L331" s="159">
        <v>0</v>
      </c>
      <c r="M331" s="24">
        <f t="shared" si="50"/>
        <v>0</v>
      </c>
      <c r="N331" s="29">
        <f t="shared" si="51"/>
        <v>0</v>
      </c>
      <c r="O331" s="22"/>
      <c r="P331" s="21">
        <v>0</v>
      </c>
      <c r="Q331" s="20">
        <f t="shared" si="52"/>
        <v>0</v>
      </c>
      <c r="R331" s="19" t="e">
        <f>IF(#REF!=0,,(SUM(P331)*24*Quantitatif!#REF!/(1-Quantitatif!#REF!))/#REF!)</f>
        <v>#REF!</v>
      </c>
    </row>
    <row r="332" spans="1:18" ht="25.5" x14ac:dyDescent="0.25">
      <c r="B332" s="28" t="str">
        <f t="shared" si="53"/>
        <v>Menuiserie extérieures</v>
      </c>
      <c r="C332" s="25" t="str">
        <f t="shared" ca="1" si="47"/>
        <v>$G$332</v>
      </c>
      <c r="D332" s="25" t="s">
        <v>57</v>
      </c>
      <c r="E332" s="25" t="s">
        <v>58</v>
      </c>
      <c r="F332" s="27"/>
      <c r="G332" s="26" t="str">
        <f t="shared" si="48"/>
        <v>Porte de garage 3000x2000</v>
      </c>
      <c r="H332" s="174"/>
      <c r="I332" s="142" t="e">
        <f>#REF!</f>
        <v>#REF!</v>
      </c>
      <c r="J332" s="143">
        <f>IF(ISERROR((VLOOKUP(G332,[1]Données!$P$15:$Q$44,2,0))="#N/D"),0,(VLOOKUP(G332,[1]Données!$P$15:$Q$44,2,0)))</f>
        <v>0</v>
      </c>
      <c r="K332" s="148">
        <f t="shared" si="49"/>
        <v>0</v>
      </c>
      <c r="L332" s="159">
        <v>0</v>
      </c>
      <c r="M332" s="24">
        <f t="shared" si="50"/>
        <v>0</v>
      </c>
      <c r="N332" s="29">
        <f t="shared" si="51"/>
        <v>0</v>
      </c>
      <c r="O332" s="22"/>
      <c r="P332" s="21">
        <v>0</v>
      </c>
      <c r="Q332" s="20">
        <f t="shared" si="52"/>
        <v>0</v>
      </c>
      <c r="R332" s="19" t="e">
        <f>IF(#REF!=0,,(SUM(P332)*24*Quantitatif!#REF!/(1-Quantitatif!#REF!))/#REF!)</f>
        <v>#REF!</v>
      </c>
    </row>
    <row r="333" spans="1:18" ht="25.5" x14ac:dyDescent="0.25">
      <c r="B333" s="28" t="str">
        <f t="shared" si="53"/>
        <v>Menuiserie extérieures</v>
      </c>
      <c r="C333" s="25" t="str">
        <f t="shared" ca="1" si="47"/>
        <v>$G$333</v>
      </c>
      <c r="D333" s="25" t="s">
        <v>57</v>
      </c>
      <c r="E333" s="25" t="s">
        <v>56</v>
      </c>
      <c r="F333" s="27"/>
      <c r="G333" s="26" t="str">
        <f t="shared" si="48"/>
        <v>Porte de garage 2400x2000</v>
      </c>
      <c r="H333" s="174"/>
      <c r="I333" s="142" t="e">
        <f>#REF!</f>
        <v>#REF!</v>
      </c>
      <c r="J333" s="143">
        <f>IF(ISERROR((VLOOKUP(G333,[1]Données!$P$15:$Q$44,2,0))="#N/D"),0,(VLOOKUP(G333,[1]Données!$P$15:$Q$44,2,0)))</f>
        <v>0</v>
      </c>
      <c r="K333" s="148">
        <f t="shared" si="49"/>
        <v>0</v>
      </c>
      <c r="L333" s="159">
        <v>0</v>
      </c>
      <c r="M333" s="24">
        <f t="shared" si="50"/>
        <v>0</v>
      </c>
      <c r="N333" s="29">
        <f t="shared" si="51"/>
        <v>0</v>
      </c>
      <c r="O333" s="22"/>
      <c r="P333" s="21">
        <v>0</v>
      </c>
      <c r="Q333" s="20">
        <f t="shared" si="52"/>
        <v>0</v>
      </c>
      <c r="R333" s="19" t="e">
        <f>IF(#REF!=0,,(SUM(P333)*24*Quantitatif!#REF!/(1-Quantitatif!#REF!))/#REF!)</f>
        <v>#REF!</v>
      </c>
    </row>
    <row r="334" spans="1:18" ht="25.5" x14ac:dyDescent="0.25">
      <c r="B334" s="28" t="str">
        <f t="shared" si="53"/>
        <v>Menuiserie extérieures</v>
      </c>
      <c r="C334" s="25" t="str">
        <f t="shared" ca="1" si="47"/>
        <v>$G$334</v>
      </c>
      <c r="D334" s="25"/>
      <c r="E334" s="25"/>
      <c r="F334" s="27"/>
      <c r="G334" s="26"/>
      <c r="H334" s="174"/>
      <c r="I334" s="142" t="e">
        <f>#REF!</f>
        <v>#REF!</v>
      </c>
      <c r="J334" s="143">
        <f>IF(ISERROR((VLOOKUP(G334,[1]Données!$P$15:$Q$44,2,0))="#N/D"),0,(VLOOKUP(G334,[1]Données!$P$15:$Q$44,2,0)))</f>
        <v>0</v>
      </c>
      <c r="K334" s="148">
        <f t="shared" si="49"/>
        <v>0</v>
      </c>
      <c r="L334" s="159">
        <v>0</v>
      </c>
      <c r="M334" s="24">
        <f t="shared" si="50"/>
        <v>0</v>
      </c>
      <c r="N334" s="29">
        <f t="shared" si="51"/>
        <v>0</v>
      </c>
      <c r="O334" s="22"/>
      <c r="P334" s="21">
        <v>0</v>
      </c>
      <c r="Q334" s="20">
        <f t="shared" si="52"/>
        <v>0</v>
      </c>
      <c r="R334" s="19" t="e">
        <f>IF(#REF!=0,,(SUM(P334)*24*Quantitatif!#REF!/(1-Quantitatif!#REF!))/#REF!)</f>
        <v>#REF!</v>
      </c>
    </row>
    <row r="335" spans="1:18" ht="25.5" x14ac:dyDescent="0.25">
      <c r="B335" s="28" t="str">
        <f t="shared" si="53"/>
        <v>Menuiserie extérieures</v>
      </c>
      <c r="C335" s="25" t="str">
        <f t="shared" ca="1" si="47"/>
        <v>$G$335</v>
      </c>
      <c r="D335" s="25"/>
      <c r="E335" s="25"/>
      <c r="F335" s="27"/>
      <c r="G335" s="26"/>
      <c r="H335" s="174"/>
      <c r="I335" s="142" t="e">
        <f>#REF!</f>
        <v>#REF!</v>
      </c>
      <c r="J335" s="143">
        <f>IF(ISERROR((VLOOKUP(G335,[1]Données!$P$15:$Q$44,2,0))="#N/D"),0,(VLOOKUP(G335,[1]Données!$P$15:$Q$44,2,0)))</f>
        <v>0</v>
      </c>
      <c r="K335" s="148">
        <f t="shared" si="49"/>
        <v>0</v>
      </c>
      <c r="L335" s="159">
        <v>0</v>
      </c>
      <c r="M335" s="24">
        <f t="shared" si="50"/>
        <v>0</v>
      </c>
      <c r="N335" s="29">
        <f t="shared" si="51"/>
        <v>0</v>
      </c>
      <c r="O335" s="22"/>
      <c r="P335" s="21">
        <v>0</v>
      </c>
      <c r="Q335" s="20">
        <f t="shared" si="52"/>
        <v>0</v>
      </c>
      <c r="R335" s="19" t="e">
        <f>IF(#REF!=0,,(SUM(P335)*24*Quantitatif!#REF!/(1-Quantitatif!#REF!))/#REF!)</f>
        <v>#REF!</v>
      </c>
    </row>
    <row r="336" spans="1:18" ht="25.5" x14ac:dyDescent="0.25">
      <c r="B336" s="28" t="str">
        <f t="shared" si="53"/>
        <v>Menuiserie extérieures</v>
      </c>
      <c r="C336" s="25" t="str">
        <f t="shared" ca="1" si="47"/>
        <v>$G$336</v>
      </c>
      <c r="D336" s="25"/>
      <c r="E336" s="25"/>
      <c r="F336" s="27"/>
      <c r="G336" s="26"/>
      <c r="H336" s="174"/>
      <c r="I336" s="142" t="e">
        <f>#REF!</f>
        <v>#REF!</v>
      </c>
      <c r="J336" s="143">
        <f>IF(ISERROR((VLOOKUP(G336,[1]Données!$P$15:$Q$44,2,0))="#N/D"),0,(VLOOKUP(G336,[1]Données!$P$15:$Q$44,2,0)))</f>
        <v>0</v>
      </c>
      <c r="K336" s="148">
        <f t="shared" si="49"/>
        <v>0</v>
      </c>
      <c r="L336" s="159">
        <v>0</v>
      </c>
      <c r="M336" s="24">
        <f t="shared" si="50"/>
        <v>0</v>
      </c>
      <c r="N336" s="29">
        <f t="shared" si="51"/>
        <v>0</v>
      </c>
      <c r="O336" s="22"/>
      <c r="P336" s="21">
        <v>0</v>
      </c>
      <c r="Q336" s="20">
        <f t="shared" si="52"/>
        <v>0</v>
      </c>
      <c r="R336" s="19" t="e">
        <f>IF(#REF!=0,,(SUM(P336)*24*Quantitatif!#REF!/(1-Quantitatif!#REF!))/#REF!)</f>
        <v>#REF!</v>
      </c>
    </row>
    <row r="337" spans="2:18" ht="25.5" x14ac:dyDescent="0.25">
      <c r="B337" s="28" t="str">
        <f t="shared" si="53"/>
        <v>Menuiserie extérieures</v>
      </c>
      <c r="C337" s="25" t="str">
        <f t="shared" ca="1" si="47"/>
        <v>$G$337</v>
      </c>
      <c r="D337" s="25"/>
      <c r="E337" s="25"/>
      <c r="F337" s="27"/>
      <c r="G337" s="26"/>
      <c r="H337" s="135"/>
      <c r="I337" s="142" t="e">
        <f>#REF!</f>
        <v>#REF!</v>
      </c>
      <c r="J337" s="143">
        <f>IF(ISERROR((VLOOKUP(G337,[1]Données!$P$15:$Q$44,2,0))="#N/D"),0,(VLOOKUP(G337,[1]Données!$P$15:$Q$44,2,0)))</f>
        <v>0</v>
      </c>
      <c r="K337" s="148"/>
      <c r="L337" s="159"/>
      <c r="M337" s="24"/>
      <c r="N337" s="29"/>
      <c r="O337" s="22"/>
      <c r="P337" s="21">
        <v>0</v>
      </c>
      <c r="Q337" s="20">
        <f t="shared" si="52"/>
        <v>0</v>
      </c>
      <c r="R337" s="19" t="e">
        <f>IF(#REF!=0,,(SUM(P337)*24*Quantitatif!#REF!/(1-Quantitatif!#REF!))/#REF!)</f>
        <v>#REF!</v>
      </c>
    </row>
    <row r="338" spans="2:18" ht="25.5" x14ac:dyDescent="0.25">
      <c r="B338" s="28" t="str">
        <f t="shared" si="53"/>
        <v>Menuiserie extérieures</v>
      </c>
      <c r="C338" s="25" t="str">
        <f t="shared" ca="1" si="47"/>
        <v>$G$338</v>
      </c>
      <c r="D338" s="25"/>
      <c r="E338" s="25"/>
      <c r="F338" s="27"/>
      <c r="G338" s="26"/>
      <c r="H338" s="135"/>
      <c r="I338" s="142" t="e">
        <f>#REF!</f>
        <v>#REF!</v>
      </c>
      <c r="J338" s="143">
        <f>IF(ISERROR((VLOOKUP(G338,[1]Données!$P$15:$Q$44,2,0))="#N/D"),0,(VLOOKUP(G338,[1]Données!$P$15:$Q$44,2,0)))</f>
        <v>0</v>
      </c>
      <c r="K338" s="148"/>
      <c r="L338" s="159"/>
      <c r="M338" s="24"/>
      <c r="N338" s="29"/>
      <c r="O338" s="22"/>
      <c r="P338" s="21">
        <v>0</v>
      </c>
      <c r="Q338" s="20">
        <f t="shared" si="52"/>
        <v>0</v>
      </c>
      <c r="R338" s="19" t="e">
        <f>IF(#REF!=0,,(SUM(P338)*24*Quantitatif!#REF!/(1-Quantitatif!#REF!))/#REF!)</f>
        <v>#REF!</v>
      </c>
    </row>
    <row r="339" spans="2:18" x14ac:dyDescent="0.25">
      <c r="B339" s="28" t="s">
        <v>55</v>
      </c>
      <c r="C339" s="25" t="str">
        <f t="shared" ca="1" si="47"/>
        <v>$G$339</v>
      </c>
      <c r="D339" s="25" t="s">
        <v>53</v>
      </c>
      <c r="E339" s="25" t="s">
        <v>54</v>
      </c>
      <c r="F339" s="27"/>
      <c r="G339" s="26" t="str">
        <f>+CONCATENATE(D339," ",E339)</f>
        <v>Saturateur incolore</v>
      </c>
      <c r="H339" s="174"/>
      <c r="I339" s="142" t="e">
        <f>#REF!</f>
        <v>#REF!</v>
      </c>
      <c r="J339" s="143">
        <f>IF(ISERROR((VLOOKUP(G339,[1]Données!$P$15:$Q$44,2,0))="#N/D"),0,(VLOOKUP(G339,[1]Données!$P$15:$Q$44,2,0)))</f>
        <v>0</v>
      </c>
      <c r="K339" s="148">
        <f>H339*J339</f>
        <v>0</v>
      </c>
      <c r="L339" s="159">
        <v>0</v>
      </c>
      <c r="M339" s="24">
        <f>(J339*L339+J339)</f>
        <v>0</v>
      </c>
      <c r="N339" s="29">
        <f>K339+K339*L339</f>
        <v>0</v>
      </c>
      <c r="O339" s="22"/>
      <c r="P339" s="21">
        <v>0</v>
      </c>
      <c r="Q339" s="20">
        <f t="shared" si="52"/>
        <v>0</v>
      </c>
      <c r="R339" s="19" t="e">
        <f>IF(#REF!=0,,(SUM(P339)*24*Quantitatif!#REF!/(1-Quantitatif!#REF!))/#REF!)</f>
        <v>#REF!</v>
      </c>
    </row>
    <row r="340" spans="2:18" x14ac:dyDescent="0.25">
      <c r="B340" s="28" t="str">
        <f>B339</f>
        <v>Bardage</v>
      </c>
      <c r="C340" s="25" t="str">
        <f t="shared" ca="1" si="47"/>
        <v>$G$340</v>
      </c>
      <c r="D340" s="25" t="s">
        <v>53</v>
      </c>
      <c r="E340" s="25" t="s">
        <v>52</v>
      </c>
      <c r="F340" s="27"/>
      <c r="G340" s="26" t="str">
        <f>+CONCATENATE(D340," ",E340)</f>
        <v>Saturateur coloré</v>
      </c>
      <c r="H340" s="174"/>
      <c r="I340" s="142" t="e">
        <f>#REF!</f>
        <v>#REF!</v>
      </c>
      <c r="J340" s="143">
        <f>IF(ISERROR((VLOOKUP(G340,[1]Données!$P$15:$Q$44,2,0))="#N/D"),0,(VLOOKUP(G340,[1]Données!$P$15:$Q$44,2,0)))</f>
        <v>0</v>
      </c>
      <c r="K340" s="148">
        <f>H340*J340</f>
        <v>0</v>
      </c>
      <c r="L340" s="159">
        <v>0</v>
      </c>
      <c r="M340" s="24">
        <f>(J340*L340+J340)</f>
        <v>0</v>
      </c>
      <c r="N340" s="29">
        <f>K340+K340*L340</f>
        <v>0</v>
      </c>
      <c r="O340" s="22"/>
      <c r="P340" s="21">
        <v>0</v>
      </c>
      <c r="Q340" s="20">
        <f t="shared" si="52"/>
        <v>0</v>
      </c>
      <c r="R340" s="19" t="e">
        <f>IF(#REF!=0,,(SUM(P340)*24*Quantitatif!#REF!/(1-Quantitatif!#REF!))/#REF!)</f>
        <v>#REF!</v>
      </c>
    </row>
    <row r="341" spans="2:18" x14ac:dyDescent="0.25">
      <c r="B341" s="28" t="str">
        <f>B340</f>
        <v>Bardage</v>
      </c>
      <c r="C341" s="25" t="str">
        <f t="shared" ca="1" si="47"/>
        <v>$G$341</v>
      </c>
      <c r="D341" s="25" t="s">
        <v>51</v>
      </c>
      <c r="E341" s="25" t="s">
        <v>50</v>
      </c>
      <c r="F341" s="27"/>
      <c r="G341" s="26" t="str">
        <f>+CONCATENATE(D341," ",E341)</f>
        <v>Peinture bardage</v>
      </c>
      <c r="H341" s="174"/>
      <c r="I341" s="142" t="e">
        <f>#REF!</f>
        <v>#REF!</v>
      </c>
      <c r="J341" s="143">
        <f>IF(ISERROR((VLOOKUP(G341,[1]Données!$P$15:$Q$44,2,0))="#N/D"),0,(VLOOKUP(G341,[1]Données!$P$15:$Q$44,2,0)))</f>
        <v>0</v>
      </c>
      <c r="K341" s="148">
        <f>H341*J341</f>
        <v>0</v>
      </c>
      <c r="L341" s="159">
        <v>0</v>
      </c>
      <c r="M341" s="24">
        <f>(J341*L341+J341)</f>
        <v>0</v>
      </c>
      <c r="N341" s="29">
        <f>K341+K341*L341</f>
        <v>0</v>
      </c>
      <c r="O341" s="22"/>
      <c r="P341" s="21">
        <v>0</v>
      </c>
      <c r="Q341" s="20">
        <f t="shared" si="52"/>
        <v>0</v>
      </c>
      <c r="R341" s="19" t="e">
        <f>IF(#REF!=0,,(SUM(P341)*24*Quantitatif!#REF!/(1-Quantitatif!#REF!))/#REF!)</f>
        <v>#REF!</v>
      </c>
    </row>
    <row r="342" spans="2:18" x14ac:dyDescent="0.25">
      <c r="B342" s="28" t="str">
        <f>B341</f>
        <v>Bardage</v>
      </c>
      <c r="C342" s="25" t="str">
        <f t="shared" ca="1" si="47"/>
        <v>$G$342</v>
      </c>
      <c r="D342" s="25"/>
      <c r="E342" s="25"/>
      <c r="F342" s="27"/>
      <c r="G342" s="26"/>
      <c r="H342" s="135"/>
      <c r="I342" s="142" t="e">
        <f>#REF!</f>
        <v>#REF!</v>
      </c>
      <c r="J342" s="143">
        <f>IF(ISERROR((VLOOKUP(G342,[1]Données!$P$15:$Q$44,2,0))="#N/D"),0,(VLOOKUP(G342,[1]Données!$P$15:$Q$44,2,0)))</f>
        <v>0</v>
      </c>
      <c r="K342" s="148"/>
      <c r="L342" s="159"/>
      <c r="M342" s="24"/>
      <c r="N342" s="29"/>
      <c r="O342" s="22"/>
      <c r="P342" s="21">
        <v>0</v>
      </c>
      <c r="Q342" s="20">
        <f t="shared" si="52"/>
        <v>0</v>
      </c>
      <c r="R342" s="19" t="e">
        <f>IF(#REF!=0,,(SUM(P342)*24*Quantitatif!#REF!/(1-Quantitatif!#REF!))/#REF!)</f>
        <v>#REF!</v>
      </c>
    </row>
    <row r="343" spans="2:18" x14ac:dyDescent="0.25">
      <c r="B343" s="28" t="str">
        <f>B342</f>
        <v>Bardage</v>
      </c>
      <c r="C343" s="25" t="str">
        <f t="shared" ca="1" si="47"/>
        <v>$G$343</v>
      </c>
      <c r="D343" s="25"/>
      <c r="E343" s="25"/>
      <c r="F343" s="27"/>
      <c r="G343" s="26"/>
      <c r="H343" s="135"/>
      <c r="I343" s="142" t="e">
        <f>#REF!</f>
        <v>#REF!</v>
      </c>
      <c r="J343" s="143">
        <f>IF(ISERROR((VLOOKUP(G343,[1]Données!$P$15:$Q$44,2,0))="#N/D"),0,(VLOOKUP(G343,[1]Données!$P$15:$Q$44,2,0)))</f>
        <v>0</v>
      </c>
      <c r="K343" s="148"/>
      <c r="L343" s="159"/>
      <c r="M343" s="24"/>
      <c r="N343" s="29"/>
      <c r="O343" s="22"/>
      <c r="P343" s="21">
        <v>0</v>
      </c>
      <c r="Q343" s="20">
        <f t="shared" si="52"/>
        <v>0</v>
      </c>
      <c r="R343" s="19" t="e">
        <f>IF(#REF!=0,,(SUM(P343)*24*Quantitatif!#REF!/(1-Quantitatif!#REF!))/#REF!)</f>
        <v>#REF!</v>
      </c>
    </row>
    <row r="344" spans="2:18" x14ac:dyDescent="0.25">
      <c r="B344" s="28" t="str">
        <f>B343</f>
        <v>Bardage</v>
      </c>
      <c r="C344" s="25" t="str">
        <f t="shared" ca="1" si="47"/>
        <v>$G$344</v>
      </c>
      <c r="D344" s="25"/>
      <c r="E344" s="25"/>
      <c r="F344" s="27"/>
      <c r="G344" s="26"/>
      <c r="H344" s="135"/>
      <c r="I344" s="142" t="e">
        <f>#REF!</f>
        <v>#REF!</v>
      </c>
      <c r="J344" s="143">
        <f>IF(ISERROR((VLOOKUP(G344,[1]Données!$P$15:$Q$44,2,0))="#N/D"),0,(VLOOKUP(G344,[1]Données!$P$15:$Q$44,2,0)))</f>
        <v>0</v>
      </c>
      <c r="K344" s="148"/>
      <c r="L344" s="159"/>
      <c r="M344" s="24"/>
      <c r="N344" s="29"/>
      <c r="O344" s="22"/>
      <c r="P344" s="21">
        <v>0</v>
      </c>
      <c r="Q344" s="20">
        <f t="shared" si="52"/>
        <v>0</v>
      </c>
      <c r="R344" s="19" t="e">
        <f>IF(#REF!=0,,(SUM(P344)*24*Quantitatif!#REF!/(1-Quantitatif!#REF!))/#REF!)</f>
        <v>#REF!</v>
      </c>
    </row>
    <row r="345" spans="2:18" x14ac:dyDescent="0.25">
      <c r="B345" s="28" t="s">
        <v>49</v>
      </c>
      <c r="C345" s="25" t="str">
        <f t="shared" ca="1" si="47"/>
        <v>$G$345</v>
      </c>
      <c r="D345" s="25" t="s">
        <v>48</v>
      </c>
      <c r="E345" s="25" t="s">
        <v>47</v>
      </c>
      <c r="F345" s="27"/>
      <c r="G345" s="26" t="str">
        <f t="shared" ref="G345:G352" si="54">+CONCATENATE(D345," ",E345)</f>
        <v>Terrasse toiture pin autoclavé classe IV</v>
      </c>
      <c r="H345" s="135"/>
      <c r="I345" s="142" t="e">
        <f>#REF!</f>
        <v>#REF!</v>
      </c>
      <c r="J345" s="143">
        <f>IF(ISERROR((VLOOKUP(G345,[1]Données!$P$15:$Q$44,2,0))="#N/D"),0,(VLOOKUP(G345,[1]Données!$P$15:$Q$44,2,0)))</f>
        <v>0</v>
      </c>
      <c r="K345" s="148">
        <f t="shared" ref="K345:K352" si="55">H345*J345</f>
        <v>0</v>
      </c>
      <c r="L345" s="159">
        <v>0</v>
      </c>
      <c r="M345" s="24">
        <f t="shared" ref="M345:M352" si="56">(J345*L345+J345)</f>
        <v>0</v>
      </c>
      <c r="N345" s="29">
        <f t="shared" ref="N345:N352" si="57">K345+K345*L345</f>
        <v>0</v>
      </c>
      <c r="O345" s="22"/>
      <c r="P345" s="21">
        <v>0</v>
      </c>
      <c r="Q345" s="20">
        <f t="shared" si="52"/>
        <v>0</v>
      </c>
      <c r="R345" s="19" t="e">
        <f>IF(#REF!=0,,(SUM(P345)*24*Quantitatif!#REF!/(1-Quantitatif!#REF!))/#REF!)</f>
        <v>#REF!</v>
      </c>
    </row>
    <row r="346" spans="2:18" x14ac:dyDescent="0.25">
      <c r="B346" s="28" t="str">
        <f t="shared" ref="B346:B355" si="58">B345</f>
        <v>Terrasse</v>
      </c>
      <c r="C346" s="25" t="str">
        <f t="shared" ca="1" si="47"/>
        <v>$G$346</v>
      </c>
      <c r="D346" s="25" t="s">
        <v>48</v>
      </c>
      <c r="E346" s="25" t="s">
        <v>45</v>
      </c>
      <c r="F346" s="27"/>
      <c r="G346" s="26" t="str">
        <f t="shared" si="54"/>
        <v>Terrasse toiture composite</v>
      </c>
      <c r="H346" s="174"/>
      <c r="I346" s="142" t="e">
        <f>#REF!</f>
        <v>#REF!</v>
      </c>
      <c r="J346" s="143">
        <f>IF(ISERROR((VLOOKUP(G346,[1]Données!$P$15:$Q$44,2,0))="#N/D"),0,(VLOOKUP(G346,[1]Données!$P$15:$Q$44,2,0)))</f>
        <v>0</v>
      </c>
      <c r="K346" s="148">
        <f t="shared" si="55"/>
        <v>0</v>
      </c>
      <c r="L346" s="159">
        <v>0</v>
      </c>
      <c r="M346" s="24">
        <f t="shared" si="56"/>
        <v>0</v>
      </c>
      <c r="N346" s="29">
        <f t="shared" si="57"/>
        <v>0</v>
      </c>
      <c r="O346" s="22"/>
      <c r="P346" s="21">
        <v>0</v>
      </c>
      <c r="Q346" s="20">
        <f t="shared" si="52"/>
        <v>0</v>
      </c>
      <c r="R346" s="19" t="e">
        <f>IF(#REF!=0,,(SUM(P346)*24*Quantitatif!#REF!/(1-Quantitatif!#REF!))/#REF!)</f>
        <v>#REF!</v>
      </c>
    </row>
    <row r="347" spans="2:18" x14ac:dyDescent="0.25">
      <c r="B347" s="28" t="str">
        <f t="shared" si="58"/>
        <v>Terrasse</v>
      </c>
      <c r="C347" s="25" t="str">
        <f t="shared" ref="C347:C378" ca="1" si="59">CELL("address",G347)</f>
        <v>$G$347</v>
      </c>
      <c r="D347" s="25" t="s">
        <v>46</v>
      </c>
      <c r="E347" s="25" t="s">
        <v>47</v>
      </c>
      <c r="F347" s="27"/>
      <c r="G347" s="26" t="str">
        <f t="shared" si="54"/>
        <v>Terrasse rdc pin autoclavé classe IV</v>
      </c>
      <c r="H347" s="135"/>
      <c r="I347" s="142" t="e">
        <f>#REF!</f>
        <v>#REF!</v>
      </c>
      <c r="J347" s="143">
        <f>IF(ISERROR((VLOOKUP(G347,[1]Données!$P$15:$Q$44,2,0))="#N/D"),0,(VLOOKUP(G347,[1]Données!$P$15:$Q$44,2,0)))</f>
        <v>0</v>
      </c>
      <c r="K347" s="148">
        <f t="shared" si="55"/>
        <v>0</v>
      </c>
      <c r="L347" s="159">
        <v>0</v>
      </c>
      <c r="M347" s="24">
        <f t="shared" si="56"/>
        <v>0</v>
      </c>
      <c r="N347" s="29">
        <f t="shared" si="57"/>
        <v>0</v>
      </c>
      <c r="O347" s="22"/>
      <c r="P347" s="21">
        <v>0</v>
      </c>
      <c r="Q347" s="20">
        <f t="shared" ref="Q347:Q378" si="60">P347*J347</f>
        <v>0</v>
      </c>
      <c r="R347" s="19" t="e">
        <f>IF(#REF!=0,,(SUM(P347)*24*Quantitatif!#REF!/(1-Quantitatif!#REF!))/#REF!)</f>
        <v>#REF!</v>
      </c>
    </row>
    <row r="348" spans="2:18" x14ac:dyDescent="0.25">
      <c r="B348" s="28" t="str">
        <f t="shared" si="58"/>
        <v>Terrasse</v>
      </c>
      <c r="C348" s="25" t="str">
        <f t="shared" ca="1" si="59"/>
        <v>$G$348</v>
      </c>
      <c r="D348" s="25" t="s">
        <v>46</v>
      </c>
      <c r="E348" s="25" t="s">
        <v>45</v>
      </c>
      <c r="F348" s="27"/>
      <c r="G348" s="26" t="str">
        <f t="shared" si="54"/>
        <v>Terrasse rdc composite</v>
      </c>
      <c r="H348" s="174"/>
      <c r="I348" s="142" t="e">
        <f>#REF!</f>
        <v>#REF!</v>
      </c>
      <c r="J348" s="143">
        <f>IF(ISERROR((VLOOKUP(G348,[1]Données!$P$15:$Q$44,2,0))="#N/D"),0,(VLOOKUP(G348,[1]Données!$P$15:$Q$44,2,0)))</f>
        <v>0</v>
      </c>
      <c r="K348" s="148">
        <f t="shared" si="55"/>
        <v>0</v>
      </c>
      <c r="L348" s="159">
        <v>0</v>
      </c>
      <c r="M348" s="24">
        <f t="shared" si="56"/>
        <v>0</v>
      </c>
      <c r="N348" s="29">
        <f t="shared" si="57"/>
        <v>0</v>
      </c>
      <c r="O348" s="22"/>
      <c r="P348" s="21">
        <v>0</v>
      </c>
      <c r="Q348" s="20">
        <f t="shared" si="60"/>
        <v>0</v>
      </c>
      <c r="R348" s="19" t="e">
        <f>IF(#REF!=0,,(SUM(P348)*24*Quantitatif!#REF!/(1-Quantitatif!#REF!))/#REF!)</f>
        <v>#REF!</v>
      </c>
    </row>
    <row r="349" spans="2:18" x14ac:dyDescent="0.25">
      <c r="B349" s="28" t="str">
        <f t="shared" si="58"/>
        <v>Terrasse</v>
      </c>
      <c r="C349" s="25" t="str">
        <f t="shared" ca="1" si="59"/>
        <v>$G$349</v>
      </c>
      <c r="D349" s="25" t="s">
        <v>40</v>
      </c>
      <c r="E349" s="25" t="s">
        <v>43</v>
      </c>
      <c r="F349" s="27" t="s">
        <v>14</v>
      </c>
      <c r="G349" s="26" t="str">
        <f t="shared" si="54"/>
        <v>Garde corps barreaudage horizontal</v>
      </c>
      <c r="H349" s="174"/>
      <c r="I349" s="142" t="e">
        <f>#REF!</f>
        <v>#REF!</v>
      </c>
      <c r="J349" s="143">
        <f>IF(ISERROR((VLOOKUP(G349,[1]Données!$P$15:$Q$44,2,0))="#N/D"),0,(VLOOKUP(G349,[1]Données!$P$15:$Q$44,2,0)))</f>
        <v>0</v>
      </c>
      <c r="K349" s="148">
        <f t="shared" si="55"/>
        <v>0</v>
      </c>
      <c r="L349" s="159">
        <v>0</v>
      </c>
      <c r="M349" s="24">
        <f t="shared" si="56"/>
        <v>0</v>
      </c>
      <c r="N349" s="29">
        <f t="shared" si="57"/>
        <v>0</v>
      </c>
      <c r="O349" s="22"/>
      <c r="P349" s="21">
        <v>0</v>
      </c>
      <c r="Q349" s="20">
        <f t="shared" si="60"/>
        <v>0</v>
      </c>
      <c r="R349" s="19" t="e">
        <f>IF(#REF!=0,,(SUM(P349)*24*Quantitatif!#REF!/(1-Quantitatif!#REF!))/#REF!)</f>
        <v>#REF!</v>
      </c>
    </row>
    <row r="350" spans="2:18" x14ac:dyDescent="0.25">
      <c r="B350" s="28" t="str">
        <f t="shared" si="58"/>
        <v>Terrasse</v>
      </c>
      <c r="C350" s="25" t="str">
        <f t="shared" ca="1" si="59"/>
        <v>$G$350</v>
      </c>
      <c r="D350" s="25" t="s">
        <v>40</v>
      </c>
      <c r="E350" s="25" t="s">
        <v>42</v>
      </c>
      <c r="F350" s="27" t="s">
        <v>14</v>
      </c>
      <c r="G350" s="26" t="str">
        <f t="shared" si="54"/>
        <v>Garde corps barreaudage vertical</v>
      </c>
      <c r="H350" s="174"/>
      <c r="I350" s="142" t="e">
        <f>#REF!</f>
        <v>#REF!</v>
      </c>
      <c r="J350" s="143">
        <f>IF(ISERROR((VLOOKUP(G350,[1]Données!$P$15:$Q$44,2,0))="#N/D"),0,(VLOOKUP(G350,[1]Données!$P$15:$Q$44,2,0)))</f>
        <v>0</v>
      </c>
      <c r="K350" s="148">
        <f t="shared" si="55"/>
        <v>0</v>
      </c>
      <c r="L350" s="159">
        <v>0</v>
      </c>
      <c r="M350" s="24">
        <f t="shared" si="56"/>
        <v>0</v>
      </c>
      <c r="N350" s="29">
        <f t="shared" si="57"/>
        <v>0</v>
      </c>
      <c r="O350" s="22"/>
      <c r="P350" s="21">
        <v>0</v>
      </c>
      <c r="Q350" s="20">
        <f t="shared" si="60"/>
        <v>0</v>
      </c>
      <c r="R350" s="19" t="e">
        <f>IF(#REF!=0,,(SUM(P350)*24*Quantitatif!#REF!/(1-Quantitatif!#REF!))/#REF!)</f>
        <v>#REF!</v>
      </c>
    </row>
    <row r="351" spans="2:18" x14ac:dyDescent="0.25">
      <c r="B351" s="28" t="str">
        <f t="shared" si="58"/>
        <v>Terrasse</v>
      </c>
      <c r="C351" s="25" t="str">
        <f t="shared" ca="1" si="59"/>
        <v>$G$351</v>
      </c>
      <c r="D351" s="25" t="s">
        <v>40</v>
      </c>
      <c r="E351" s="25" t="s">
        <v>41</v>
      </c>
      <c r="F351" s="27" t="s">
        <v>14</v>
      </c>
      <c r="G351" s="26" t="str">
        <f t="shared" si="54"/>
        <v>Garde corps acier remplissage verre</v>
      </c>
      <c r="H351" s="135"/>
      <c r="I351" s="142" t="e">
        <f>#REF!</f>
        <v>#REF!</v>
      </c>
      <c r="J351" s="143">
        <f>IF(ISERROR((VLOOKUP(G351,[1]Données!$P$15:$Q$44,2,0))="#N/D"),0,(VLOOKUP(G351,[1]Données!$P$15:$Q$44,2,0)))</f>
        <v>0</v>
      </c>
      <c r="K351" s="148">
        <f t="shared" si="55"/>
        <v>0</v>
      </c>
      <c r="L351" s="159">
        <v>0</v>
      </c>
      <c r="M351" s="24">
        <f t="shared" si="56"/>
        <v>0</v>
      </c>
      <c r="N351" s="29">
        <f t="shared" si="57"/>
        <v>0</v>
      </c>
      <c r="O351" s="22"/>
      <c r="P351" s="21">
        <v>0</v>
      </c>
      <c r="Q351" s="20">
        <f t="shared" si="60"/>
        <v>0</v>
      </c>
      <c r="R351" s="19" t="e">
        <f>IF(#REF!=0,,(SUM(P351)*24*Quantitatif!#REF!/(1-Quantitatif!#REF!))/#REF!)</f>
        <v>#REF!</v>
      </c>
    </row>
    <row r="352" spans="2:18" x14ac:dyDescent="0.25">
      <c r="B352" s="28" t="str">
        <f t="shared" si="58"/>
        <v>Terrasse</v>
      </c>
      <c r="C352" s="25" t="str">
        <f t="shared" ca="1" si="59"/>
        <v>$G$352</v>
      </c>
      <c r="D352" s="25" t="s">
        <v>40</v>
      </c>
      <c r="E352" s="25" t="s">
        <v>39</v>
      </c>
      <c r="F352" s="27" t="s">
        <v>14</v>
      </c>
      <c r="G352" s="26" t="str">
        <f t="shared" si="54"/>
        <v>Garde corps acier à câbles inox</v>
      </c>
      <c r="H352" s="174"/>
      <c r="I352" s="142" t="e">
        <f>#REF!</f>
        <v>#REF!</v>
      </c>
      <c r="J352" s="143">
        <f>IF(ISERROR((VLOOKUP(G352,[1]Données!$P$15:$Q$44,2,0))="#N/D"),0,(VLOOKUP(G352,[1]Données!$P$15:$Q$44,2,0)))</f>
        <v>0</v>
      </c>
      <c r="K352" s="148">
        <f t="shared" si="55"/>
        <v>0</v>
      </c>
      <c r="L352" s="159">
        <v>0</v>
      </c>
      <c r="M352" s="24">
        <f t="shared" si="56"/>
        <v>0</v>
      </c>
      <c r="N352" s="29">
        <f t="shared" si="57"/>
        <v>0</v>
      </c>
      <c r="O352" s="22"/>
      <c r="P352" s="21">
        <v>0</v>
      </c>
      <c r="Q352" s="20">
        <f t="shared" si="60"/>
        <v>0</v>
      </c>
      <c r="R352" s="19" t="e">
        <f>IF(#REF!=0,,(SUM(P352)*24*Quantitatif!#REF!/(1-Quantitatif!#REF!))/#REF!)</f>
        <v>#REF!</v>
      </c>
    </row>
    <row r="353" spans="2:18" x14ac:dyDescent="0.25">
      <c r="B353" s="28" t="str">
        <f t="shared" si="58"/>
        <v>Terrasse</v>
      </c>
      <c r="C353" s="25" t="str">
        <f t="shared" ca="1" si="59"/>
        <v>$G$353</v>
      </c>
      <c r="D353" s="25"/>
      <c r="E353" s="25"/>
      <c r="F353" s="27"/>
      <c r="G353" s="26"/>
      <c r="H353" s="135"/>
      <c r="I353" s="142" t="e">
        <f>#REF!</f>
        <v>#REF!</v>
      </c>
      <c r="J353" s="143">
        <f>IF(ISERROR((VLOOKUP(G353,[1]Données!$P$15:$Q$44,2,0))="#N/D"),0,(VLOOKUP(G353,[1]Données!$P$15:$Q$44,2,0)))</f>
        <v>0</v>
      </c>
      <c r="K353" s="148"/>
      <c r="L353" s="159"/>
      <c r="M353" s="24"/>
      <c r="N353" s="29"/>
      <c r="O353" s="22"/>
      <c r="P353" s="21">
        <v>0</v>
      </c>
      <c r="Q353" s="20">
        <f t="shared" si="60"/>
        <v>0</v>
      </c>
      <c r="R353" s="19" t="e">
        <f>IF(#REF!=0,,(SUM(P353)*24*Quantitatif!#REF!/(1-Quantitatif!#REF!))/#REF!)</f>
        <v>#REF!</v>
      </c>
    </row>
    <row r="354" spans="2:18" x14ac:dyDescent="0.25">
      <c r="B354" s="28" t="str">
        <f t="shared" si="58"/>
        <v>Terrasse</v>
      </c>
      <c r="C354" s="25" t="str">
        <f t="shared" ca="1" si="59"/>
        <v>$G$354</v>
      </c>
      <c r="D354" s="25"/>
      <c r="E354" s="25"/>
      <c r="F354" s="27"/>
      <c r="G354" s="26"/>
      <c r="H354" s="135"/>
      <c r="I354" s="142" t="e">
        <f>#REF!</f>
        <v>#REF!</v>
      </c>
      <c r="J354" s="143">
        <f>IF(ISERROR((VLOOKUP(G354,[1]Données!$P$15:$Q$44,2,0))="#N/D"),0,(VLOOKUP(G354,[1]Données!$P$15:$Q$44,2,0)))</f>
        <v>0</v>
      </c>
      <c r="K354" s="148"/>
      <c r="L354" s="159"/>
      <c r="M354" s="24"/>
      <c r="N354" s="29"/>
      <c r="O354" s="22"/>
      <c r="P354" s="21">
        <v>0</v>
      </c>
      <c r="Q354" s="20">
        <f t="shared" si="60"/>
        <v>0</v>
      </c>
      <c r="R354" s="19" t="e">
        <f>IF(#REF!=0,,(SUM(P354)*24*Quantitatif!#REF!/(1-Quantitatif!#REF!))/#REF!)</f>
        <v>#REF!</v>
      </c>
    </row>
    <row r="355" spans="2:18" x14ac:dyDescent="0.25">
      <c r="B355" s="28" t="str">
        <f t="shared" si="58"/>
        <v>Terrasse</v>
      </c>
      <c r="C355" s="25" t="str">
        <f t="shared" ca="1" si="59"/>
        <v>$G$355</v>
      </c>
      <c r="D355" s="25"/>
      <c r="E355" s="25"/>
      <c r="F355" s="27"/>
      <c r="G355" s="26"/>
      <c r="H355" s="135"/>
      <c r="I355" s="142" t="e">
        <f>#REF!</f>
        <v>#REF!</v>
      </c>
      <c r="J355" s="143">
        <f>IF(ISERROR((VLOOKUP(G355,[1]Données!$P$15:$Q$44,2,0))="#N/D"),0,(VLOOKUP(G355,[1]Données!$P$15:$Q$44,2,0)))</f>
        <v>0</v>
      </c>
      <c r="K355" s="148"/>
      <c r="L355" s="159"/>
      <c r="M355" s="24"/>
      <c r="N355" s="29"/>
      <c r="O355" s="22"/>
      <c r="P355" s="21">
        <v>0</v>
      </c>
      <c r="Q355" s="20">
        <f t="shared" si="60"/>
        <v>0</v>
      </c>
      <c r="R355" s="19" t="e">
        <f>IF(#REF!=0,,(SUM(P355)*24*Quantitatif!#REF!/(1-Quantitatif!#REF!))/#REF!)</f>
        <v>#REF!</v>
      </c>
    </row>
    <row r="356" spans="2:18" x14ac:dyDescent="0.25">
      <c r="B356" s="28" t="s">
        <v>37</v>
      </c>
      <c r="C356" s="25" t="str">
        <f t="shared" ca="1" si="59"/>
        <v>$G$356</v>
      </c>
      <c r="D356" s="25" t="s">
        <v>36</v>
      </c>
      <c r="E356" s="25" t="s">
        <v>34</v>
      </c>
      <c r="F356" s="27"/>
      <c r="G356" s="26" t="str">
        <f>+CONCATENATE(D356," ",E356)</f>
        <v>Poêle à granules supplémentaire</v>
      </c>
      <c r="H356" s="135"/>
      <c r="I356" s="142" t="e">
        <f>#REF!</f>
        <v>#REF!</v>
      </c>
      <c r="J356" s="143">
        <f>IF(ISERROR((VLOOKUP(G356,[1]Données!$P$15:$Q$44,2,0))="#N/D"),0,(VLOOKUP(G356,[1]Données!$P$15:$Q$44,2,0)))</f>
        <v>0</v>
      </c>
      <c r="K356" s="148">
        <f>H356*J356</f>
        <v>0</v>
      </c>
      <c r="L356" s="159">
        <v>0</v>
      </c>
      <c r="M356" s="24">
        <f>(J356*L356+J356)</f>
        <v>0</v>
      </c>
      <c r="N356" s="29">
        <f>K356+K356*L356</f>
        <v>0</v>
      </c>
      <c r="O356" s="22"/>
      <c r="P356" s="21">
        <v>0</v>
      </c>
      <c r="Q356" s="20">
        <f t="shared" si="60"/>
        <v>0</v>
      </c>
      <c r="R356" s="19" t="e">
        <f>IF(#REF!=0,,(SUM(P356)*24*Quantitatif!#REF!/(1-Quantitatif!#REF!))/#REF!)</f>
        <v>#REF!</v>
      </c>
    </row>
    <row r="357" spans="2:18" x14ac:dyDescent="0.25">
      <c r="B357" s="28" t="str">
        <f>B356</f>
        <v>Chauffage</v>
      </c>
      <c r="C357" s="25" t="str">
        <f t="shared" ca="1" si="59"/>
        <v>$G$357</v>
      </c>
      <c r="D357" s="25" t="s">
        <v>35</v>
      </c>
      <c r="E357" s="25" t="s">
        <v>34</v>
      </c>
      <c r="F357" s="27" t="s">
        <v>14</v>
      </c>
      <c r="G357" s="26" t="str">
        <f>+CONCATENATE(D357," ",E357)</f>
        <v>Sortie poêle à granules supplémentaire</v>
      </c>
      <c r="H357" s="135"/>
      <c r="I357" s="142" t="e">
        <f>#REF!</f>
        <v>#REF!</v>
      </c>
      <c r="J357" s="143">
        <f>IF(ISERROR((VLOOKUP(G357,[1]Données!$P$15:$Q$44,2,0))="#N/D"),0,(VLOOKUP(G357,[1]Données!$P$15:$Q$44,2,0)))</f>
        <v>0</v>
      </c>
      <c r="K357" s="148">
        <f>H357*J357</f>
        <v>0</v>
      </c>
      <c r="L357" s="159">
        <v>0</v>
      </c>
      <c r="M357" s="24">
        <f>(J357*L357+J357)</f>
        <v>0</v>
      </c>
      <c r="N357" s="29">
        <f>K357+K357*L357</f>
        <v>0</v>
      </c>
      <c r="O357" s="22"/>
      <c r="P357" s="21">
        <v>0.125</v>
      </c>
      <c r="Q357" s="20">
        <f t="shared" si="60"/>
        <v>0</v>
      </c>
      <c r="R357" s="19" t="e">
        <f>IF(#REF!=0,,(SUM(P357)*24*Quantitatif!#REF!/(1-Quantitatif!#REF!))/#REF!)</f>
        <v>#REF!</v>
      </c>
    </row>
    <row r="358" spans="2:18" ht="30" x14ac:dyDescent="0.25">
      <c r="B358" s="28" t="str">
        <f>B357</f>
        <v>Chauffage</v>
      </c>
      <c r="C358" s="25" t="str">
        <f t="shared" ca="1" si="59"/>
        <v>$G$358</v>
      </c>
      <c r="D358" s="25" t="s">
        <v>33</v>
      </c>
      <c r="E358" s="25" t="s">
        <v>32</v>
      </c>
      <c r="F358" s="27"/>
      <c r="G358" s="26" t="str">
        <f>+CONCATENATE(D358," ",E358)</f>
        <v>Sèche serviette double énergie (plus value pour chauffage gaz)</v>
      </c>
      <c r="H358" s="174"/>
      <c r="I358" s="142" t="e">
        <f>#REF!</f>
        <v>#REF!</v>
      </c>
      <c r="J358" s="143">
        <f>IF(ISERROR((VLOOKUP(G358,[1]Données!$P$15:$Q$44,2,0))="#N/D"),0,(VLOOKUP(G358,[1]Données!$P$15:$Q$44,2,0)))</f>
        <v>0</v>
      </c>
      <c r="K358" s="148">
        <f>H358*J358</f>
        <v>0</v>
      </c>
      <c r="L358" s="159">
        <v>0</v>
      </c>
      <c r="M358" s="24">
        <f>(J358*L358+J358)</f>
        <v>0</v>
      </c>
      <c r="N358" s="29">
        <f>K358+K358*L358</f>
        <v>0</v>
      </c>
      <c r="O358" s="22"/>
      <c r="P358" s="21">
        <v>0</v>
      </c>
      <c r="Q358" s="20">
        <f t="shared" si="60"/>
        <v>0</v>
      </c>
      <c r="R358" s="19" t="e">
        <f>IF(#REF!=0,,(SUM(P358)*24*Quantitatif!#REF!/(1-Quantitatif!#REF!))/#REF!)</f>
        <v>#REF!</v>
      </c>
    </row>
    <row r="359" spans="2:18" x14ac:dyDescent="0.25">
      <c r="B359" s="28" t="str">
        <f>B358</f>
        <v>Chauffage</v>
      </c>
      <c r="C359" s="25" t="str">
        <f t="shared" ca="1" si="59"/>
        <v>$G$359</v>
      </c>
      <c r="D359" s="25"/>
      <c r="E359" s="25"/>
      <c r="F359" s="27"/>
      <c r="G359" s="26"/>
      <c r="H359" s="135"/>
      <c r="I359" s="142" t="e">
        <f>#REF!</f>
        <v>#REF!</v>
      </c>
      <c r="J359" s="143">
        <f>IF(ISERROR((VLOOKUP(G359,[1]Données!$P$15:$Q$44,2,0))="#N/D"),0,(VLOOKUP(G359,[1]Données!$P$15:$Q$44,2,0)))</f>
        <v>0</v>
      </c>
      <c r="K359" s="148"/>
      <c r="L359" s="159"/>
      <c r="M359" s="24"/>
      <c r="N359" s="29"/>
      <c r="O359" s="22"/>
      <c r="P359" s="21">
        <v>0</v>
      </c>
      <c r="Q359" s="20">
        <f t="shared" si="60"/>
        <v>0</v>
      </c>
      <c r="R359" s="19" t="e">
        <f>IF(#REF!=0,,(SUM(P359)*24*Quantitatif!#REF!/(1-Quantitatif!#REF!))/#REF!)</f>
        <v>#REF!</v>
      </c>
    </row>
    <row r="360" spans="2:18" x14ac:dyDescent="0.25">
      <c r="B360" s="28" t="str">
        <f>B359</f>
        <v>Chauffage</v>
      </c>
      <c r="C360" s="25" t="str">
        <f t="shared" ca="1" si="59"/>
        <v>$G$360</v>
      </c>
      <c r="D360" s="25"/>
      <c r="E360" s="25"/>
      <c r="F360" s="27"/>
      <c r="G360" s="26"/>
      <c r="H360" s="135"/>
      <c r="I360" s="142" t="e">
        <f>#REF!</f>
        <v>#REF!</v>
      </c>
      <c r="J360" s="143">
        <f>IF(ISERROR((VLOOKUP(G360,[1]Données!$P$15:$Q$44,2,0))="#N/D"),0,(VLOOKUP(G360,[1]Données!$P$15:$Q$44,2,0)))</f>
        <v>0</v>
      </c>
      <c r="K360" s="148"/>
      <c r="L360" s="159"/>
      <c r="M360" s="24"/>
      <c r="N360" s="29"/>
      <c r="O360" s="22"/>
      <c r="P360" s="21">
        <v>0</v>
      </c>
      <c r="Q360" s="20">
        <f t="shared" si="60"/>
        <v>0</v>
      </c>
      <c r="R360" s="19" t="e">
        <f>IF(#REF!=0,,(SUM(P360)*24*Quantitatif!#REF!/(1-Quantitatif!#REF!))/#REF!)</f>
        <v>#REF!</v>
      </c>
    </row>
    <row r="361" spans="2:18" x14ac:dyDescent="0.25">
      <c r="B361" s="28" t="str">
        <f>B360</f>
        <v>Chauffage</v>
      </c>
      <c r="C361" s="25" t="str">
        <f t="shared" ca="1" si="59"/>
        <v>$G$361</v>
      </c>
      <c r="D361" s="25"/>
      <c r="E361" s="25"/>
      <c r="F361" s="27"/>
      <c r="G361" s="26"/>
      <c r="H361" s="135"/>
      <c r="I361" s="142" t="e">
        <f>#REF!</f>
        <v>#REF!</v>
      </c>
      <c r="J361" s="143">
        <f>IF(ISERROR((VLOOKUP(G361,[1]Données!$P$15:$Q$44,2,0))="#N/D"),0,(VLOOKUP(G361,[1]Données!$P$15:$Q$44,2,0)))</f>
        <v>0</v>
      </c>
      <c r="K361" s="148">
        <f>H394*J362</f>
        <v>0</v>
      </c>
      <c r="L361" s="159">
        <v>0</v>
      </c>
      <c r="M361" s="24">
        <f>(J362*L361+J362)</f>
        <v>0</v>
      </c>
      <c r="N361" s="29">
        <f t="shared" ref="N361:N375" si="61">K361+K361*L361</f>
        <v>0</v>
      </c>
      <c r="O361" s="22"/>
      <c r="P361" s="21">
        <v>0</v>
      </c>
      <c r="Q361" s="20">
        <f t="shared" si="60"/>
        <v>0</v>
      </c>
      <c r="R361" s="19" t="e">
        <f>IF(#REF!=0,,(SUM(P361)*24*Quantitatif!#REF!/(1-Quantitatif!#REF!))/#REF!)</f>
        <v>#REF!</v>
      </c>
    </row>
    <row r="362" spans="2:18" x14ac:dyDescent="0.25">
      <c r="B362" s="28" t="s">
        <v>31</v>
      </c>
      <c r="C362" s="25" t="str">
        <f t="shared" ca="1" si="59"/>
        <v>$G$362</v>
      </c>
      <c r="D362" s="25"/>
      <c r="E362" s="25"/>
      <c r="F362" s="27"/>
      <c r="G362" s="26" t="s">
        <v>30</v>
      </c>
      <c r="H362" s="135"/>
      <c r="I362" s="142" t="e">
        <f>#REF!</f>
        <v>#REF!</v>
      </c>
      <c r="J362" s="143">
        <f>IF(ISERROR((VLOOKUP(G362,[1]Données!$P$15:$Q$44,2,0))="#N/D"),0,(VLOOKUP(G362,[1]Données!$P$15:$Q$44,2,0)))</f>
        <v>0</v>
      </c>
      <c r="K362" s="148">
        <f t="shared" ref="K362:K375" si="62">H362*J362</f>
        <v>0</v>
      </c>
      <c r="L362" s="159">
        <v>0</v>
      </c>
      <c r="M362" s="24">
        <f t="shared" ref="M362:M375" si="63">(J362*L362+J362)</f>
        <v>0</v>
      </c>
      <c r="N362" s="29">
        <f t="shared" si="61"/>
        <v>0</v>
      </c>
      <c r="O362" s="22"/>
      <c r="P362" s="21">
        <v>0</v>
      </c>
      <c r="Q362" s="20">
        <f t="shared" si="60"/>
        <v>0</v>
      </c>
      <c r="R362" s="19" t="e">
        <f>IF(#REF!=0,,(SUM(P362)*24*Quantitatif!#REF!/(1-Quantitatif!#REF!))/#REF!)</f>
        <v>#REF!</v>
      </c>
    </row>
    <row r="363" spans="2:18" ht="39" x14ac:dyDescent="0.25">
      <c r="B363" s="28" t="str">
        <f t="shared" ref="B363:B383" si="64">B362</f>
        <v>Sanitaire</v>
      </c>
      <c r="C363" s="25" t="str">
        <f t="shared" ca="1" si="59"/>
        <v>$G$363</v>
      </c>
      <c r="D363" s="25"/>
      <c r="E363" s="25"/>
      <c r="F363" s="27"/>
      <c r="G363" s="31" t="s">
        <v>29</v>
      </c>
      <c r="H363" s="135"/>
      <c r="I363" s="142" t="e">
        <f>#REF!</f>
        <v>#REF!</v>
      </c>
      <c r="J363" s="143">
        <f>IF(ISERROR((VLOOKUP(G363,[1]Données!$P$15:$Q$44,2,0))="#N/D"),0,(VLOOKUP(G363,[1]Données!$P$15:$Q$44,2,0)))</f>
        <v>0</v>
      </c>
      <c r="K363" s="148">
        <f t="shared" si="62"/>
        <v>0</v>
      </c>
      <c r="L363" s="159">
        <v>0</v>
      </c>
      <c r="M363" s="24">
        <f t="shared" si="63"/>
        <v>0</v>
      </c>
      <c r="N363" s="29">
        <f t="shared" si="61"/>
        <v>0</v>
      </c>
      <c r="O363" s="22"/>
      <c r="P363" s="21">
        <v>0</v>
      </c>
      <c r="Q363" s="20">
        <f t="shared" si="60"/>
        <v>0</v>
      </c>
      <c r="R363" s="19" t="e">
        <f>IF(#REF!=0,,(SUM(P363)*24*Quantitatif!#REF!/(1-Quantitatif!#REF!))/#REF!)</f>
        <v>#REF!</v>
      </c>
    </row>
    <row r="364" spans="2:18" x14ac:dyDescent="0.25">
      <c r="B364" s="28" t="str">
        <f t="shared" si="64"/>
        <v>Sanitaire</v>
      </c>
      <c r="C364" s="25" t="str">
        <f t="shared" ca="1" si="59"/>
        <v>$G$364</v>
      </c>
      <c r="D364" s="25"/>
      <c r="E364" s="25"/>
      <c r="F364" s="27"/>
      <c r="G364" s="26"/>
      <c r="H364" s="135"/>
      <c r="I364" s="142" t="e">
        <f>#REF!</f>
        <v>#REF!</v>
      </c>
      <c r="J364" s="143">
        <f>IF(ISERROR((VLOOKUP(G364,[1]Données!$P$15:$Q$44,2,0))="#N/D"),0,(VLOOKUP(G364,[1]Données!$P$15:$Q$44,2,0)))</f>
        <v>0</v>
      </c>
      <c r="K364" s="148">
        <f t="shared" si="62"/>
        <v>0</v>
      </c>
      <c r="L364" s="159">
        <v>0</v>
      </c>
      <c r="M364" s="24">
        <f t="shared" si="63"/>
        <v>0</v>
      </c>
      <c r="N364" s="29">
        <f t="shared" si="61"/>
        <v>0</v>
      </c>
      <c r="O364" s="22"/>
      <c r="P364" s="21">
        <v>0</v>
      </c>
      <c r="Q364" s="20">
        <f t="shared" si="60"/>
        <v>0</v>
      </c>
      <c r="R364" s="19" t="e">
        <f>IF(#REF!=0,,(SUM(P364)*24*Quantitatif!#REF!/(1-Quantitatif!#REF!))/#REF!)</f>
        <v>#REF!</v>
      </c>
    </row>
    <row r="365" spans="2:18" x14ac:dyDescent="0.25">
      <c r="B365" s="28" t="str">
        <f t="shared" si="64"/>
        <v>Sanitaire</v>
      </c>
      <c r="C365" s="25" t="str">
        <f t="shared" ca="1" si="59"/>
        <v>$G$365</v>
      </c>
      <c r="D365" s="25"/>
      <c r="E365" s="25"/>
      <c r="F365" s="27"/>
      <c r="G365" s="26" t="s">
        <v>28</v>
      </c>
      <c r="H365" s="135"/>
      <c r="I365" s="142" t="e">
        <f>#REF!</f>
        <v>#REF!</v>
      </c>
      <c r="J365" s="143">
        <f>IF(ISERROR((VLOOKUP(G365,[1]Données!$P$15:$Q$44,2,0))="#N/D"),0,(VLOOKUP(G365,[1]Données!$P$15:$Q$44,2,0)))</f>
        <v>0</v>
      </c>
      <c r="K365" s="148">
        <f t="shared" si="62"/>
        <v>0</v>
      </c>
      <c r="L365" s="159">
        <v>0</v>
      </c>
      <c r="M365" s="24">
        <f t="shared" si="63"/>
        <v>0</v>
      </c>
      <c r="N365" s="29">
        <f t="shared" si="61"/>
        <v>0</v>
      </c>
      <c r="O365" s="22"/>
      <c r="P365" s="21">
        <v>0</v>
      </c>
      <c r="Q365" s="20">
        <f t="shared" si="60"/>
        <v>0</v>
      </c>
      <c r="R365" s="19" t="e">
        <f>IF(#REF!=0,,(SUM(P365)*24*Quantitatif!#REF!/(1-Quantitatif!#REF!))/#REF!)</f>
        <v>#REF!</v>
      </c>
    </row>
    <row r="366" spans="2:18" x14ac:dyDescent="0.25">
      <c r="B366" s="28" t="str">
        <f t="shared" si="64"/>
        <v>Sanitaire</v>
      </c>
      <c r="C366" s="25" t="str">
        <f t="shared" ca="1" si="59"/>
        <v>$G$366</v>
      </c>
      <c r="D366" s="25"/>
      <c r="E366" s="25"/>
      <c r="F366" s="27"/>
      <c r="G366" s="26" t="s">
        <v>27</v>
      </c>
      <c r="H366" s="135"/>
      <c r="I366" s="142" t="e">
        <f>#REF!</f>
        <v>#REF!</v>
      </c>
      <c r="J366" s="143">
        <f>IF(ISERROR((VLOOKUP(G366,[1]Données!$P$15:$Q$44,2,0))="#N/D"),0,(VLOOKUP(G366,[1]Données!$P$15:$Q$44,2,0)))</f>
        <v>2</v>
      </c>
      <c r="K366" s="148">
        <f t="shared" si="62"/>
        <v>0</v>
      </c>
      <c r="L366" s="159">
        <v>0</v>
      </c>
      <c r="M366" s="24">
        <f t="shared" si="63"/>
        <v>2</v>
      </c>
      <c r="N366" s="29">
        <f t="shared" si="61"/>
        <v>0</v>
      </c>
      <c r="O366" s="22"/>
      <c r="P366" s="21">
        <v>0</v>
      </c>
      <c r="Q366" s="20">
        <f t="shared" si="60"/>
        <v>0</v>
      </c>
      <c r="R366" s="19" t="e">
        <f>IF(#REF!=0,,(SUM(P366)*24*Quantitatif!#REF!/(1-Quantitatif!#REF!))/#REF!)</f>
        <v>#REF!</v>
      </c>
    </row>
    <row r="367" spans="2:18" x14ac:dyDescent="0.25">
      <c r="B367" s="28" t="str">
        <f t="shared" si="64"/>
        <v>Sanitaire</v>
      </c>
      <c r="C367" s="25" t="str">
        <f t="shared" ca="1" si="59"/>
        <v>$G$367</v>
      </c>
      <c r="D367" s="25"/>
      <c r="E367" s="25"/>
      <c r="F367" s="27"/>
      <c r="G367" s="26" t="s">
        <v>26</v>
      </c>
      <c r="H367" s="135"/>
      <c r="I367" s="142" t="e">
        <f>#REF!</f>
        <v>#REF!</v>
      </c>
      <c r="J367" s="143">
        <f>IF(ISERROR((VLOOKUP(G367,[1]Données!$P$15:$Q$44,2,0))="#N/D"),0,(VLOOKUP(G367,[1]Données!$P$15:$Q$44,2,0)))</f>
        <v>0</v>
      </c>
      <c r="K367" s="148">
        <f t="shared" si="62"/>
        <v>0</v>
      </c>
      <c r="L367" s="159">
        <v>0</v>
      </c>
      <c r="M367" s="24">
        <f t="shared" si="63"/>
        <v>0</v>
      </c>
      <c r="N367" s="29">
        <f t="shared" si="61"/>
        <v>0</v>
      </c>
      <c r="O367" s="22"/>
      <c r="P367" s="21">
        <v>0</v>
      </c>
      <c r="Q367" s="20">
        <f t="shared" si="60"/>
        <v>0</v>
      </c>
      <c r="R367" s="19" t="e">
        <f>IF(#REF!=0,,(SUM(P367)*24*Quantitatif!#REF!/(1-Quantitatif!#REF!))/#REF!)</f>
        <v>#REF!</v>
      </c>
    </row>
    <row r="368" spans="2:18" x14ac:dyDescent="0.25">
      <c r="B368" s="28" t="str">
        <f t="shared" si="64"/>
        <v>Sanitaire</v>
      </c>
      <c r="C368" s="25" t="str">
        <f t="shared" ca="1" si="59"/>
        <v>$G$368</v>
      </c>
      <c r="D368" s="25"/>
      <c r="E368" s="25"/>
      <c r="F368" s="27"/>
      <c r="G368" s="26" t="s">
        <v>25</v>
      </c>
      <c r="H368" s="135"/>
      <c r="I368" s="142" t="e">
        <f>#REF!</f>
        <v>#REF!</v>
      </c>
      <c r="J368" s="143">
        <f>IF(ISERROR((VLOOKUP(G368,[1]Données!$P$15:$Q$44,2,0))="#N/D"),0,(VLOOKUP(G368,[1]Données!$P$15:$Q$44,2,0)))</f>
        <v>1</v>
      </c>
      <c r="K368" s="148">
        <f t="shared" si="62"/>
        <v>0</v>
      </c>
      <c r="L368" s="159">
        <v>0</v>
      </c>
      <c r="M368" s="24">
        <f t="shared" si="63"/>
        <v>1</v>
      </c>
      <c r="N368" s="29">
        <f t="shared" si="61"/>
        <v>0</v>
      </c>
      <c r="O368" s="22"/>
      <c r="P368" s="21">
        <v>0</v>
      </c>
      <c r="Q368" s="20">
        <f t="shared" si="60"/>
        <v>0</v>
      </c>
      <c r="R368" s="19" t="e">
        <f>IF(#REF!=0,,(SUM(P368)*24*Quantitatif!#REF!/(1-Quantitatif!#REF!))/#REF!)</f>
        <v>#REF!</v>
      </c>
    </row>
    <row r="369" spans="2:18" x14ac:dyDescent="0.25">
      <c r="B369" s="28" t="str">
        <f t="shared" si="64"/>
        <v>Sanitaire</v>
      </c>
      <c r="C369" s="25" t="str">
        <f t="shared" ca="1" si="59"/>
        <v>$G$369</v>
      </c>
      <c r="D369" s="25"/>
      <c r="E369" s="25"/>
      <c r="F369" s="27"/>
      <c r="G369" s="26" t="s">
        <v>24</v>
      </c>
      <c r="H369" s="135"/>
      <c r="I369" s="142" t="e">
        <f>#REF!</f>
        <v>#REF!</v>
      </c>
      <c r="J369" s="143">
        <f>IF(ISERROR((VLOOKUP(G369,[1]Données!$P$15:$Q$44,2,0))="#N/D"),0,(VLOOKUP(G369,[1]Données!$P$15:$Q$44,2,0)))</f>
        <v>1</v>
      </c>
      <c r="K369" s="148">
        <f t="shared" si="62"/>
        <v>0</v>
      </c>
      <c r="L369" s="159">
        <v>0</v>
      </c>
      <c r="M369" s="24">
        <f t="shared" si="63"/>
        <v>1</v>
      </c>
      <c r="N369" s="29">
        <f t="shared" si="61"/>
        <v>0</v>
      </c>
      <c r="O369" s="22"/>
      <c r="P369" s="21">
        <v>0</v>
      </c>
      <c r="Q369" s="20">
        <f t="shared" si="60"/>
        <v>0</v>
      </c>
      <c r="R369" s="19" t="e">
        <f>IF(#REF!=0,,(SUM(P369)*24*Quantitatif!#REF!/(1-Quantitatif!#REF!))/#REF!)</f>
        <v>#REF!</v>
      </c>
    </row>
    <row r="370" spans="2:18" x14ac:dyDescent="0.25">
      <c r="B370" s="28" t="str">
        <f t="shared" si="64"/>
        <v>Sanitaire</v>
      </c>
      <c r="C370" s="25" t="str">
        <f t="shared" ca="1" si="59"/>
        <v>$G$370</v>
      </c>
      <c r="D370" s="25"/>
      <c r="E370" s="25"/>
      <c r="F370" s="27"/>
      <c r="G370" s="26" t="s">
        <v>23</v>
      </c>
      <c r="H370" s="135"/>
      <c r="I370" s="142" t="e">
        <f>#REF!</f>
        <v>#REF!</v>
      </c>
      <c r="J370" s="143">
        <f>IF(ISERROR((VLOOKUP(G370,[1]Données!$P$15:$Q$44,2,0))="#N/D"),0,(VLOOKUP(G370,[1]Données!$P$15:$Q$44,2,0)))</f>
        <v>1</v>
      </c>
      <c r="K370" s="148">
        <f t="shared" si="62"/>
        <v>0</v>
      </c>
      <c r="L370" s="159">
        <v>0</v>
      </c>
      <c r="M370" s="24">
        <f t="shared" si="63"/>
        <v>1</v>
      </c>
      <c r="N370" s="29">
        <f t="shared" si="61"/>
        <v>0</v>
      </c>
      <c r="O370" s="22"/>
      <c r="P370" s="21">
        <v>0</v>
      </c>
      <c r="Q370" s="20">
        <f t="shared" si="60"/>
        <v>0</v>
      </c>
      <c r="R370" s="19" t="e">
        <f>IF(#REF!=0,,(SUM(P370)*24*Quantitatif!#REF!/(1-Quantitatif!#REF!))/#REF!)</f>
        <v>#REF!</v>
      </c>
    </row>
    <row r="371" spans="2:18" x14ac:dyDescent="0.25">
      <c r="B371" s="28" t="str">
        <f t="shared" si="64"/>
        <v>Sanitaire</v>
      </c>
      <c r="C371" s="25" t="str">
        <f t="shared" ca="1" si="59"/>
        <v>$G$371</v>
      </c>
      <c r="D371" s="25"/>
      <c r="E371" s="25"/>
      <c r="F371" s="27"/>
      <c r="G371" s="26" t="s">
        <v>22</v>
      </c>
      <c r="H371" s="174"/>
      <c r="I371" s="142" t="e">
        <f>#REF!</f>
        <v>#REF!</v>
      </c>
      <c r="J371" s="143">
        <f>IF(ISERROR((VLOOKUP(G371,[1]Données!$P$15:$Q$44,2,0))="#N/D"),0,(VLOOKUP(G371,[1]Données!$P$15:$Q$44,2,0)))</f>
        <v>1</v>
      </c>
      <c r="K371" s="148">
        <f t="shared" si="62"/>
        <v>0</v>
      </c>
      <c r="L371" s="159">
        <v>0</v>
      </c>
      <c r="M371" s="24">
        <f t="shared" si="63"/>
        <v>1</v>
      </c>
      <c r="N371" s="29">
        <f t="shared" si="61"/>
        <v>0</v>
      </c>
      <c r="O371" s="22"/>
      <c r="P371" s="21">
        <v>0</v>
      </c>
      <c r="Q371" s="20">
        <f t="shared" si="60"/>
        <v>0</v>
      </c>
      <c r="R371" s="19" t="e">
        <f>IF(#REF!=0,,(SUM(P371)*24*Quantitatif!#REF!/(1-Quantitatif!#REF!))/#REF!)</f>
        <v>#REF!</v>
      </c>
    </row>
    <row r="372" spans="2:18" x14ac:dyDescent="0.25">
      <c r="B372" s="28" t="str">
        <f t="shared" si="64"/>
        <v>Sanitaire</v>
      </c>
      <c r="C372" s="25" t="str">
        <f t="shared" ca="1" si="59"/>
        <v>$G$372</v>
      </c>
      <c r="D372" s="25"/>
      <c r="E372" s="25"/>
      <c r="F372" s="27"/>
      <c r="G372" s="26" t="s">
        <v>21</v>
      </c>
      <c r="H372" s="174"/>
      <c r="I372" s="142" t="e">
        <f>#REF!</f>
        <v>#REF!</v>
      </c>
      <c r="J372" s="143">
        <f>IF(ISERROR((VLOOKUP(G372,[1]Données!$P$15:$Q$44,2,0))="#N/D"),0,(VLOOKUP(G372,[1]Données!$P$15:$Q$44,2,0)))</f>
        <v>0</v>
      </c>
      <c r="K372" s="148">
        <f t="shared" si="62"/>
        <v>0</v>
      </c>
      <c r="L372" s="159">
        <v>0</v>
      </c>
      <c r="M372" s="24">
        <f t="shared" si="63"/>
        <v>0</v>
      </c>
      <c r="N372" s="29">
        <f t="shared" si="61"/>
        <v>0</v>
      </c>
      <c r="O372" s="22"/>
      <c r="P372" s="21">
        <v>0</v>
      </c>
      <c r="Q372" s="20">
        <f t="shared" si="60"/>
        <v>0</v>
      </c>
      <c r="R372" s="19" t="e">
        <f>IF(#REF!=0,,(SUM(P372)*24*Quantitatif!#REF!/(1-Quantitatif!#REF!))/#REF!)</f>
        <v>#REF!</v>
      </c>
    </row>
    <row r="373" spans="2:18" x14ac:dyDescent="0.25">
      <c r="B373" s="28" t="str">
        <f t="shared" si="64"/>
        <v>Sanitaire</v>
      </c>
      <c r="C373" s="25" t="str">
        <f t="shared" ca="1" si="59"/>
        <v>$G$373</v>
      </c>
      <c r="D373" s="25"/>
      <c r="E373" s="25"/>
      <c r="F373" s="27"/>
      <c r="G373" s="26" t="s">
        <v>20</v>
      </c>
      <c r="H373" s="174"/>
      <c r="I373" s="142" t="e">
        <f>#REF!</f>
        <v>#REF!</v>
      </c>
      <c r="J373" s="143">
        <f>IF(ISERROR((VLOOKUP(G373,[1]Données!$P$15:$Q$44,2,0))="#N/D"),0,(VLOOKUP(G373,[1]Données!$P$15:$Q$44,2,0)))</f>
        <v>1</v>
      </c>
      <c r="K373" s="148">
        <f t="shared" si="62"/>
        <v>0</v>
      </c>
      <c r="L373" s="159">
        <v>0</v>
      </c>
      <c r="M373" s="24">
        <f t="shared" si="63"/>
        <v>1</v>
      </c>
      <c r="N373" s="29">
        <f t="shared" si="61"/>
        <v>0</v>
      </c>
      <c r="O373" s="22"/>
      <c r="P373" s="21">
        <v>0</v>
      </c>
      <c r="Q373" s="20">
        <f t="shared" si="60"/>
        <v>0</v>
      </c>
      <c r="R373" s="19" t="e">
        <f>IF(#REF!=0,,(SUM(P373)*24*Quantitatif!#REF!/(1-Quantitatif!#REF!))/#REF!)</f>
        <v>#REF!</v>
      </c>
    </row>
    <row r="374" spans="2:18" x14ac:dyDescent="0.25">
      <c r="B374" s="28" t="str">
        <f t="shared" si="64"/>
        <v>Sanitaire</v>
      </c>
      <c r="C374" s="25" t="str">
        <f t="shared" ca="1" si="59"/>
        <v>$G$374</v>
      </c>
      <c r="D374" s="25"/>
      <c r="E374" s="25"/>
      <c r="F374" s="27"/>
      <c r="G374" s="26" t="s">
        <v>19</v>
      </c>
      <c r="H374" s="174"/>
      <c r="I374" s="142" t="e">
        <f>#REF!</f>
        <v>#REF!</v>
      </c>
      <c r="J374" s="143">
        <f>IF(ISERROR((VLOOKUP(G374,[1]Données!$P$15:$Q$44,2,0))="#N/D"),0,(VLOOKUP(G374,[1]Données!$P$15:$Q$44,2,0)))</f>
        <v>0</v>
      </c>
      <c r="K374" s="148">
        <f t="shared" si="62"/>
        <v>0</v>
      </c>
      <c r="L374" s="159">
        <v>0</v>
      </c>
      <c r="M374" s="24">
        <f t="shared" si="63"/>
        <v>0</v>
      </c>
      <c r="N374" s="29">
        <f t="shared" si="61"/>
        <v>0</v>
      </c>
      <c r="O374" s="22"/>
      <c r="P374" s="21">
        <v>0</v>
      </c>
      <c r="Q374" s="20">
        <f t="shared" si="60"/>
        <v>0</v>
      </c>
      <c r="R374" s="19" t="e">
        <f>IF(#REF!=0,,(SUM(P374)*24*Quantitatif!#REF!/(1-Quantitatif!#REF!))/#REF!)</f>
        <v>#REF!</v>
      </c>
    </row>
    <row r="375" spans="2:18" x14ac:dyDescent="0.25">
      <c r="B375" s="28" t="str">
        <f t="shared" si="64"/>
        <v>Sanitaire</v>
      </c>
      <c r="C375" s="25" t="str">
        <f t="shared" ca="1" si="59"/>
        <v>$G$375</v>
      </c>
      <c r="D375" s="25"/>
      <c r="E375" s="25"/>
      <c r="F375" s="27"/>
      <c r="G375" s="26" t="s">
        <v>18</v>
      </c>
      <c r="H375" s="135"/>
      <c r="I375" s="142" t="e">
        <f>#REF!</f>
        <v>#REF!</v>
      </c>
      <c r="J375" s="143">
        <f>IF(ISERROR((VLOOKUP(G375,[1]Données!$P$15:$Q$44,2,0))="#N/D"),0,(VLOOKUP(G375,[1]Données!$P$15:$Q$44,2,0)))</f>
        <v>0</v>
      </c>
      <c r="K375" s="148">
        <f t="shared" si="62"/>
        <v>0</v>
      </c>
      <c r="L375" s="159">
        <v>0</v>
      </c>
      <c r="M375" s="24">
        <f t="shared" si="63"/>
        <v>0</v>
      </c>
      <c r="N375" s="29">
        <f t="shared" si="61"/>
        <v>0</v>
      </c>
      <c r="O375" s="22"/>
      <c r="P375" s="21">
        <v>0</v>
      </c>
      <c r="Q375" s="20">
        <f t="shared" si="60"/>
        <v>0</v>
      </c>
      <c r="R375" s="19" t="e">
        <f>IF(#REF!=0,,(SUM(P375)*24*Quantitatif!#REF!/(1-Quantitatif!#REF!))/#REF!)</f>
        <v>#REF!</v>
      </c>
    </row>
    <row r="376" spans="2:18" x14ac:dyDescent="0.25">
      <c r="B376" s="28" t="str">
        <f t="shared" si="64"/>
        <v>Sanitaire</v>
      </c>
      <c r="C376" s="25" t="str">
        <f t="shared" ca="1" si="59"/>
        <v>$G$376</v>
      </c>
      <c r="D376" s="25"/>
      <c r="E376" s="25"/>
      <c r="F376" s="27"/>
      <c r="G376" s="26"/>
      <c r="H376" s="135"/>
      <c r="I376" s="142" t="e">
        <f>#REF!</f>
        <v>#REF!</v>
      </c>
      <c r="J376" s="143"/>
      <c r="K376" s="148"/>
      <c r="L376" s="159"/>
      <c r="M376" s="24"/>
      <c r="N376" s="29"/>
      <c r="O376" s="22"/>
      <c r="P376" s="21">
        <v>0</v>
      </c>
      <c r="Q376" s="20">
        <f t="shared" si="60"/>
        <v>0</v>
      </c>
      <c r="R376" s="19" t="e">
        <f>IF(#REF!=0,,(SUM(P376)*24*Quantitatif!#REF!/(1-Quantitatif!#REF!))/#REF!)</f>
        <v>#REF!</v>
      </c>
    </row>
    <row r="377" spans="2:18" x14ac:dyDescent="0.25">
      <c r="B377" s="28" t="str">
        <f t="shared" si="64"/>
        <v>Sanitaire</v>
      </c>
      <c r="C377" s="25" t="str">
        <f t="shared" ca="1" si="59"/>
        <v>$G$377</v>
      </c>
      <c r="D377" s="25"/>
      <c r="E377" s="25"/>
      <c r="F377" s="27"/>
      <c r="G377" s="26"/>
      <c r="H377" s="135"/>
      <c r="I377" s="142" t="e">
        <f>#REF!</f>
        <v>#REF!</v>
      </c>
      <c r="J377" s="143">
        <f>IF(ISERROR((VLOOKUP(G377,[1]Données!$P$13:$Q$31,2,0))="#N/D"),0,(VLOOKUP(G377,[1]Données!$P$13:$Q$31,2,0)))</f>
        <v>0</v>
      </c>
      <c r="K377" s="148"/>
      <c r="L377" s="159"/>
      <c r="M377" s="24"/>
      <c r="N377" s="29"/>
      <c r="O377" s="22"/>
      <c r="P377" s="21">
        <v>0</v>
      </c>
      <c r="Q377" s="20">
        <f t="shared" si="60"/>
        <v>0</v>
      </c>
      <c r="R377" s="19" t="e">
        <f>IF(#REF!=0,,(SUM(P377)*24*Quantitatif!#REF!/(1-Quantitatif!#REF!))/#REF!)</f>
        <v>#REF!</v>
      </c>
    </row>
    <row r="378" spans="2:18" x14ac:dyDescent="0.25">
      <c r="B378" s="28" t="str">
        <f t="shared" si="64"/>
        <v>Sanitaire</v>
      </c>
      <c r="C378" s="25" t="str">
        <f t="shared" ca="1" si="59"/>
        <v>$G$378</v>
      </c>
      <c r="D378" s="25"/>
      <c r="E378" s="25"/>
      <c r="F378" s="27"/>
      <c r="G378" s="26"/>
      <c r="H378" s="135"/>
      <c r="I378" s="142" t="e">
        <f>#REF!</f>
        <v>#REF!</v>
      </c>
      <c r="J378" s="143">
        <f>IF(ISERROR((VLOOKUP(G378,[1]Données!$P$13:$Q$31,2,0))="#N/D"),0,(VLOOKUP(G378,[1]Données!$P$13:$Q$31,2,0)))</f>
        <v>0</v>
      </c>
      <c r="K378" s="148"/>
      <c r="L378" s="159"/>
      <c r="M378" s="24"/>
      <c r="N378" s="29"/>
      <c r="O378" s="22"/>
      <c r="P378" s="21">
        <v>0</v>
      </c>
      <c r="Q378" s="20">
        <f t="shared" si="60"/>
        <v>0</v>
      </c>
      <c r="R378" s="19" t="e">
        <f>IF(#REF!=0,,(SUM(P378)*24*Quantitatif!#REF!/(1-Quantitatif!#REF!))/#REF!)</f>
        <v>#REF!</v>
      </c>
    </row>
    <row r="379" spans="2:18" x14ac:dyDescent="0.25">
      <c r="B379" s="28" t="str">
        <f t="shared" si="64"/>
        <v>Sanitaire</v>
      </c>
      <c r="C379" s="25" t="str">
        <f t="shared" ref="C379:C398" ca="1" si="65">CELL("address",G379)</f>
        <v>$G$379</v>
      </c>
      <c r="D379" s="25"/>
      <c r="E379" s="25"/>
      <c r="F379" s="27"/>
      <c r="G379" s="26"/>
      <c r="H379" s="135"/>
      <c r="I379" s="142" t="e">
        <f>#REF!</f>
        <v>#REF!</v>
      </c>
      <c r="J379" s="143">
        <f>IF(ISERROR((VLOOKUP(G379,[1]Données!$P$13:$Q$31,2,0))="#N/D"),0,(VLOOKUP(G379,[1]Données!$P$13:$Q$31,2,0)))</f>
        <v>0</v>
      </c>
      <c r="K379" s="148"/>
      <c r="L379" s="159"/>
      <c r="M379" s="24"/>
      <c r="N379" s="29"/>
      <c r="O379" s="22"/>
      <c r="P379" s="21">
        <v>0</v>
      </c>
      <c r="Q379" s="20">
        <f t="shared" ref="Q379:Q398" si="66">P379*J379</f>
        <v>0</v>
      </c>
      <c r="R379" s="19" t="e">
        <f>IF(#REF!=0,,(SUM(P379)*24*Quantitatif!#REF!/(1-Quantitatif!#REF!))/#REF!)</f>
        <v>#REF!</v>
      </c>
    </row>
    <row r="380" spans="2:18" x14ac:dyDescent="0.25">
      <c r="B380" s="28" t="str">
        <f t="shared" si="64"/>
        <v>Sanitaire</v>
      </c>
      <c r="C380" s="25" t="str">
        <f t="shared" ca="1" si="65"/>
        <v>$G$380</v>
      </c>
      <c r="D380" s="25"/>
      <c r="E380" s="25"/>
      <c r="F380" s="27"/>
      <c r="G380" s="26"/>
      <c r="H380" s="135"/>
      <c r="I380" s="142" t="e">
        <f>#REF!</f>
        <v>#REF!</v>
      </c>
      <c r="J380" s="143">
        <f>IF(ISERROR((VLOOKUP(G380,[1]Données!$P$13:$Q$31,2,0))="#N/D"),0,(VLOOKUP(G380,[1]Données!$P$13:$Q$31,2,0)))</f>
        <v>0</v>
      </c>
      <c r="K380" s="148"/>
      <c r="L380" s="159"/>
      <c r="M380" s="24"/>
      <c r="N380" s="29"/>
      <c r="O380" s="22"/>
      <c r="P380" s="21">
        <v>0</v>
      </c>
      <c r="Q380" s="20">
        <f t="shared" si="66"/>
        <v>0</v>
      </c>
      <c r="R380" s="19" t="e">
        <f>IF(#REF!=0,,(SUM(P380)*24*Quantitatif!#REF!/(1-Quantitatif!#REF!))/#REF!)</f>
        <v>#REF!</v>
      </c>
    </row>
    <row r="381" spans="2:18" x14ac:dyDescent="0.25">
      <c r="B381" s="28" t="str">
        <f t="shared" si="64"/>
        <v>Sanitaire</v>
      </c>
      <c r="C381" s="25" t="str">
        <f t="shared" ca="1" si="65"/>
        <v>$G$381</v>
      </c>
      <c r="D381" s="25"/>
      <c r="E381" s="25"/>
      <c r="F381" s="27"/>
      <c r="G381" s="26"/>
      <c r="H381" s="135"/>
      <c r="I381" s="142" t="e">
        <f>#REF!</f>
        <v>#REF!</v>
      </c>
      <c r="J381" s="143">
        <f>IF(ISERROR((VLOOKUP(G381,[1]Données!$P$13:$Q$31,2,0))="#N/D"),0,(VLOOKUP(G381,[1]Données!$P$13:$Q$31,2,0)))</f>
        <v>0</v>
      </c>
      <c r="K381" s="148"/>
      <c r="L381" s="159"/>
      <c r="M381" s="24"/>
      <c r="N381" s="29"/>
      <c r="O381" s="22"/>
      <c r="P381" s="21">
        <v>0</v>
      </c>
      <c r="Q381" s="20">
        <f t="shared" si="66"/>
        <v>0</v>
      </c>
      <c r="R381" s="19" t="e">
        <f>IF(#REF!=0,,(SUM(P381)*24*Quantitatif!#REF!/(1-Quantitatif!#REF!))/#REF!)</f>
        <v>#REF!</v>
      </c>
    </row>
    <row r="382" spans="2:18" x14ac:dyDescent="0.25">
      <c r="B382" s="28" t="str">
        <f t="shared" si="64"/>
        <v>Sanitaire</v>
      </c>
      <c r="C382" s="25" t="str">
        <f t="shared" ca="1" si="65"/>
        <v>$G$382</v>
      </c>
      <c r="D382" s="25"/>
      <c r="E382" s="25"/>
      <c r="F382" s="27"/>
      <c r="G382" s="26"/>
      <c r="H382" s="135"/>
      <c r="I382" s="142" t="e">
        <f>#REF!</f>
        <v>#REF!</v>
      </c>
      <c r="J382" s="143">
        <f>IF(ISERROR((VLOOKUP(G382,[1]Données!$P$13:$Q$31,2,0))="#N/D"),0,(VLOOKUP(G382,[1]Données!$P$13:$Q$31,2,0)))</f>
        <v>0</v>
      </c>
      <c r="K382" s="148"/>
      <c r="L382" s="159"/>
      <c r="M382" s="24"/>
      <c r="N382" s="29"/>
      <c r="O382" s="22"/>
      <c r="P382" s="21">
        <v>0</v>
      </c>
      <c r="Q382" s="20">
        <f t="shared" si="66"/>
        <v>0</v>
      </c>
      <c r="R382" s="19" t="e">
        <f>IF(#REF!=0,,(SUM(P382)*24*Quantitatif!#REF!/(1-Quantitatif!#REF!))/#REF!)</f>
        <v>#REF!</v>
      </c>
    </row>
    <row r="383" spans="2:18" x14ac:dyDescent="0.25">
      <c r="B383" s="28" t="str">
        <f t="shared" si="64"/>
        <v>Sanitaire</v>
      </c>
      <c r="C383" s="25" t="str">
        <f t="shared" ca="1" si="65"/>
        <v>$G$383</v>
      </c>
      <c r="D383" s="25"/>
      <c r="E383" s="25"/>
      <c r="F383" s="27"/>
      <c r="G383" s="26"/>
      <c r="H383" s="135"/>
      <c r="I383" s="142" t="e">
        <f>#REF!</f>
        <v>#REF!</v>
      </c>
      <c r="J383" s="143">
        <f>IF(ISERROR((VLOOKUP(G383,[1]Données!$P$13:$Q$31,2,0))="#N/D"),0,(VLOOKUP(G383,[1]Données!$P$13:$Q$31,2,0)))</f>
        <v>0</v>
      </c>
      <c r="K383" s="148">
        <f>H376*J383</f>
        <v>0</v>
      </c>
      <c r="L383" s="159">
        <v>0</v>
      </c>
      <c r="M383" s="24">
        <f>(J383*L383+J383)</f>
        <v>0</v>
      </c>
      <c r="N383" s="29">
        <f>K383+K383*L383</f>
        <v>0</v>
      </c>
      <c r="O383" s="22"/>
      <c r="P383" s="21">
        <v>0</v>
      </c>
      <c r="Q383" s="20">
        <f t="shared" si="66"/>
        <v>0</v>
      </c>
      <c r="R383" s="19" t="e">
        <f>IF(#REF!=0,,(SUM(P383)*24*Quantitatif!#REF!/(1-Quantitatif!#REF!))/#REF!)</f>
        <v>#REF!</v>
      </c>
    </row>
    <row r="384" spans="2:18" x14ac:dyDescent="0.25">
      <c r="B384" s="28" t="s">
        <v>16</v>
      </c>
      <c r="C384" s="25" t="str">
        <f t="shared" ca="1" si="65"/>
        <v>$G$384</v>
      </c>
      <c r="D384" s="25" t="s">
        <v>16</v>
      </c>
      <c r="E384" s="25" t="s">
        <v>17</v>
      </c>
      <c r="F384" s="27" t="s">
        <v>14</v>
      </c>
      <c r="G384" s="26" t="str">
        <f>+CONCATENATE(D384," ",E384)</f>
        <v>Escalier tout métal</v>
      </c>
      <c r="H384" s="174"/>
      <c r="I384" s="142" t="e">
        <f>#REF!</f>
        <v>#REF!</v>
      </c>
      <c r="J384" s="143">
        <f>IF(ISERROR((VLOOKUP(G384,[1]Données!$P$13:$Q$31,2,0))="#N/D"),0,(VLOOKUP(G384,[1]Données!$P$13:$Q$31,2,0)))</f>
        <v>0</v>
      </c>
      <c r="K384" s="148">
        <f>H384*J384</f>
        <v>0</v>
      </c>
      <c r="L384" s="159">
        <v>0</v>
      </c>
      <c r="M384" s="24">
        <f>(J384*L384+J384)</f>
        <v>0</v>
      </c>
      <c r="N384" s="29">
        <f>K384+K384*L384</f>
        <v>0</v>
      </c>
      <c r="O384" s="22"/>
      <c r="P384" s="21">
        <v>0</v>
      </c>
      <c r="Q384" s="20">
        <f t="shared" si="66"/>
        <v>0</v>
      </c>
      <c r="R384" s="19" t="e">
        <f>IF(#REF!=0,,(SUM(P384)*24*Quantitatif!#REF!/(1-Quantitatif!#REF!))/#REF!)</f>
        <v>#REF!</v>
      </c>
    </row>
    <row r="385" spans="2:18" x14ac:dyDescent="0.25">
      <c r="B385" s="28" t="str">
        <f>B384</f>
        <v>Escalier</v>
      </c>
      <c r="C385" s="25" t="str">
        <f t="shared" ca="1" si="65"/>
        <v>$G$385</v>
      </c>
      <c r="D385" s="25" t="s">
        <v>16</v>
      </c>
      <c r="E385" s="25" t="s">
        <v>15</v>
      </c>
      <c r="F385" s="27" t="s">
        <v>14</v>
      </c>
      <c r="G385" s="26" t="str">
        <f>+CONCATENATE(D385," ",E385)</f>
        <v>Escalier métal et marches chêne</v>
      </c>
      <c r="H385" s="174"/>
      <c r="I385" s="142" t="e">
        <f>#REF!</f>
        <v>#REF!</v>
      </c>
      <c r="J385" s="143">
        <f>IF(ISERROR((VLOOKUP(G385,[1]Données!$P$13:$Q$31,2,0))="#N/D"),0,(VLOOKUP(G385,[1]Données!$P$13:$Q$31,2,0)))</f>
        <v>0</v>
      </c>
      <c r="K385" s="148">
        <f>H385*J385</f>
        <v>0</v>
      </c>
      <c r="L385" s="159">
        <v>0</v>
      </c>
      <c r="M385" s="24">
        <f>(J385*L385+J385)</f>
        <v>0</v>
      </c>
      <c r="N385" s="29">
        <f>K385+K385*L385</f>
        <v>0</v>
      </c>
      <c r="O385" s="22"/>
      <c r="P385" s="21">
        <v>0</v>
      </c>
      <c r="Q385" s="20">
        <f t="shared" si="66"/>
        <v>0</v>
      </c>
      <c r="R385" s="19" t="e">
        <f>IF(#REF!=0,,(SUM(P385)*24*Quantitatif!#REF!/(1-Quantitatif!#REF!))/#REF!)</f>
        <v>#REF!</v>
      </c>
    </row>
    <row r="386" spans="2:18" x14ac:dyDescent="0.25">
      <c r="B386" s="28" t="str">
        <f>B385</f>
        <v>Escalier</v>
      </c>
      <c r="C386" s="25" t="str">
        <f t="shared" ca="1" si="65"/>
        <v>$G$386</v>
      </c>
      <c r="D386" s="25"/>
      <c r="E386" s="25"/>
      <c r="F386" s="27"/>
      <c r="G386" s="26"/>
      <c r="H386" s="135"/>
      <c r="I386" s="142" t="e">
        <f>#REF!</f>
        <v>#REF!</v>
      </c>
      <c r="J386" s="143">
        <f>IF(ISERROR((VLOOKUP(G386,[1]Données!$P$13:$Q$31,2,0))="#N/D"),0,(VLOOKUP(G386,[1]Données!$P$13:$Q$31,2,0)))</f>
        <v>0</v>
      </c>
      <c r="K386" s="148"/>
      <c r="L386" s="159"/>
      <c r="M386" s="24"/>
      <c r="N386" s="29"/>
      <c r="O386" s="22"/>
      <c r="P386" s="21">
        <v>0</v>
      </c>
      <c r="Q386" s="20">
        <f t="shared" si="66"/>
        <v>0</v>
      </c>
      <c r="R386" s="19" t="e">
        <f>IF(#REF!=0,,(SUM(P386)*24*Quantitatif!#REF!/(1-Quantitatif!#REF!))/#REF!)</f>
        <v>#REF!</v>
      </c>
    </row>
    <row r="387" spans="2:18" x14ac:dyDescent="0.25">
      <c r="B387" s="28" t="s">
        <v>13</v>
      </c>
      <c r="C387" s="25" t="str">
        <f t="shared" ca="1" si="65"/>
        <v>$G$387</v>
      </c>
      <c r="D387" s="25" t="s">
        <v>12</v>
      </c>
      <c r="E387" s="25" t="s">
        <v>11</v>
      </c>
      <c r="F387" s="27"/>
      <c r="G387" s="26" t="str">
        <f>+CONCATENATE(D387," ",E387)</f>
        <v>Spot Plus value (lot de 10)</v>
      </c>
      <c r="H387" s="135"/>
      <c r="I387" s="142" t="e">
        <f>#REF!</f>
        <v>#REF!</v>
      </c>
      <c r="J387" s="143">
        <f>IF(ISERROR((VLOOKUP(G387,[1]Données!$P$13:$Q$31,2,0))="#N/D"),0,(VLOOKUP(G387,[1]Données!$P$13:$Q$31,2,0)))</f>
        <v>0</v>
      </c>
      <c r="K387" s="148">
        <f>H387*J387</f>
        <v>0</v>
      </c>
      <c r="L387" s="159">
        <v>0</v>
      </c>
      <c r="M387" s="24">
        <f>(J387*L387+J387)</f>
        <v>0</v>
      </c>
      <c r="N387" s="29">
        <f>K387+K387*L387</f>
        <v>0</v>
      </c>
      <c r="O387" s="22"/>
      <c r="P387" s="21">
        <v>0</v>
      </c>
      <c r="Q387" s="20">
        <f t="shared" si="66"/>
        <v>0</v>
      </c>
      <c r="R387" s="19" t="e">
        <f>IF(#REF!=0,,(SUM(P387)*24*Quantitatif!#REF!/(1-Quantitatif!#REF!))/#REF!)</f>
        <v>#REF!</v>
      </c>
    </row>
    <row r="388" spans="2:18" ht="30" x14ac:dyDescent="0.25">
      <c r="B388" s="28" t="str">
        <f t="shared" ref="B388:B396" si="67">B387</f>
        <v>Électricité</v>
      </c>
      <c r="C388" s="25" t="str">
        <f t="shared" ca="1" si="65"/>
        <v>$G$388</v>
      </c>
      <c r="D388" s="25" t="s">
        <v>10</v>
      </c>
      <c r="E388" s="25" t="s">
        <v>9</v>
      </c>
      <c r="F388" s="27"/>
      <c r="G388" s="26" t="str">
        <f>+CONCATENATE(D388," ",E388)</f>
        <v>VMC Double flux en remplacement vmc simple</v>
      </c>
      <c r="H388" s="174"/>
      <c r="I388" s="142" t="e">
        <f>#REF!</f>
        <v>#REF!</v>
      </c>
      <c r="J388" s="143">
        <f>IF(ISERROR((VLOOKUP(G388,[1]Données!$P$13:$Q$31,2,0))="#N/D"),0,(VLOOKUP(G388,[1]Données!$P$13:$Q$31,2,0)))</f>
        <v>0</v>
      </c>
      <c r="K388" s="148"/>
      <c r="L388" s="159"/>
      <c r="M388" s="24"/>
      <c r="N388" s="29"/>
      <c r="O388" s="22"/>
      <c r="P388" s="21">
        <v>0</v>
      </c>
      <c r="Q388" s="20">
        <f t="shared" si="66"/>
        <v>0</v>
      </c>
      <c r="R388" s="19" t="e">
        <f>IF(#REF!=0,,(SUM(P388)*24*Quantitatif!#REF!/(1-Quantitatif!#REF!))/#REF!)</f>
        <v>#REF!</v>
      </c>
    </row>
    <row r="389" spans="2:18" x14ac:dyDescent="0.25">
      <c r="B389" s="28" t="str">
        <f t="shared" si="67"/>
        <v>Électricité</v>
      </c>
      <c r="C389" s="25" t="str">
        <f t="shared" ca="1" si="65"/>
        <v>$G$389</v>
      </c>
      <c r="D389" s="25"/>
      <c r="E389" s="25"/>
      <c r="F389" s="27"/>
      <c r="G389" s="26"/>
      <c r="H389" s="135"/>
      <c r="I389" s="142" t="e">
        <f>#REF!</f>
        <v>#REF!</v>
      </c>
      <c r="J389" s="143">
        <f>IF(ISERROR((VLOOKUP(G389,[1]Données!$P$13:$Q$31,2,0))="#N/D"),0,(VLOOKUP(G389,[1]Données!$P$13:$Q$31,2,0)))</f>
        <v>0</v>
      </c>
      <c r="K389" s="148"/>
      <c r="L389" s="159"/>
      <c r="M389" s="24"/>
      <c r="N389" s="29"/>
      <c r="O389" s="22"/>
      <c r="P389" s="21">
        <v>0</v>
      </c>
      <c r="Q389" s="20">
        <f t="shared" si="66"/>
        <v>0</v>
      </c>
      <c r="R389" s="19" t="e">
        <f>IF(#REF!=0,,(SUM(P389)*24*Quantitatif!#REF!/(1-Quantitatif!#REF!))/#REF!)</f>
        <v>#REF!</v>
      </c>
    </row>
    <row r="390" spans="2:18" x14ac:dyDescent="0.25">
      <c r="B390" s="28" t="str">
        <f t="shared" si="67"/>
        <v>Électricité</v>
      </c>
      <c r="C390" s="25" t="str">
        <f t="shared" ca="1" si="65"/>
        <v>$G$390</v>
      </c>
      <c r="D390" s="25"/>
      <c r="E390" s="25"/>
      <c r="F390" s="27"/>
      <c r="G390" s="26"/>
      <c r="H390" s="135"/>
      <c r="I390" s="142" t="e">
        <f>#REF!</f>
        <v>#REF!</v>
      </c>
      <c r="J390" s="143">
        <f>IF(ISERROR((VLOOKUP(G390,[1]Données!$P$13:$Q$31,2,0))="#N/D"),0,(VLOOKUP(G390,[1]Données!$P$13:$Q$31,2,0)))</f>
        <v>0</v>
      </c>
      <c r="K390" s="148"/>
      <c r="L390" s="159"/>
      <c r="M390" s="24"/>
      <c r="N390" s="29"/>
      <c r="O390" s="22"/>
      <c r="P390" s="21">
        <v>0</v>
      </c>
      <c r="Q390" s="20">
        <f t="shared" si="66"/>
        <v>0</v>
      </c>
      <c r="R390" s="19" t="e">
        <f>IF(#REF!=0,,(SUM(P390)*24*Quantitatif!#REF!/(1-Quantitatif!#REF!))/#REF!)</f>
        <v>#REF!</v>
      </c>
    </row>
    <row r="391" spans="2:18" x14ac:dyDescent="0.25">
      <c r="B391" s="28" t="str">
        <f t="shared" si="67"/>
        <v>Électricité</v>
      </c>
      <c r="C391" s="25" t="str">
        <f t="shared" ca="1" si="65"/>
        <v>$G$391</v>
      </c>
      <c r="D391" s="25"/>
      <c r="E391" s="25"/>
      <c r="F391" s="27"/>
      <c r="G391" s="26"/>
      <c r="H391" s="135"/>
      <c r="I391" s="142" t="e">
        <f>#REF!</f>
        <v>#REF!</v>
      </c>
      <c r="J391" s="143">
        <f>IF(ISERROR((VLOOKUP(G391,[1]Données!$P$13:$Q$31,2,0))="#N/D"),0,(VLOOKUP(G391,[1]Données!$P$13:$Q$31,2,0)))</f>
        <v>0</v>
      </c>
      <c r="K391" s="148"/>
      <c r="L391" s="159"/>
      <c r="M391" s="24"/>
      <c r="N391" s="29"/>
      <c r="O391" s="22"/>
      <c r="P391" s="21">
        <v>0</v>
      </c>
      <c r="Q391" s="20">
        <f t="shared" si="66"/>
        <v>0</v>
      </c>
      <c r="R391" s="19" t="e">
        <f>IF(#REF!=0,,(SUM(P391)*24*Quantitatif!#REF!/(1-Quantitatif!#REF!))/#REF!)</f>
        <v>#REF!</v>
      </c>
    </row>
    <row r="392" spans="2:18" x14ac:dyDescent="0.25">
      <c r="B392" s="28" t="str">
        <f t="shared" si="67"/>
        <v>Électricité</v>
      </c>
      <c r="C392" s="25" t="str">
        <f t="shared" ca="1" si="65"/>
        <v>$G$392</v>
      </c>
      <c r="D392" s="25"/>
      <c r="E392" s="25"/>
      <c r="F392" s="27"/>
      <c r="G392" s="26"/>
      <c r="H392" s="135"/>
      <c r="I392" s="142" t="e">
        <f>#REF!</f>
        <v>#REF!</v>
      </c>
      <c r="J392" s="143">
        <f>IF(ISERROR((VLOOKUP(G392,[1]Données!$P$13:$Q$31,2,0))="#N/D"),0,(VLOOKUP(G392,[1]Données!$P$13:$Q$31,2,0)))</f>
        <v>0</v>
      </c>
      <c r="K392" s="148"/>
      <c r="L392" s="159"/>
      <c r="M392" s="24"/>
      <c r="N392" s="29"/>
      <c r="O392" s="22"/>
      <c r="P392" s="21">
        <v>0</v>
      </c>
      <c r="Q392" s="20">
        <f t="shared" si="66"/>
        <v>0</v>
      </c>
      <c r="R392" s="19" t="e">
        <f>IF(#REF!=0,,(SUM(P392)*24*Quantitatif!#REF!/(1-Quantitatif!#REF!))/#REF!)</f>
        <v>#REF!</v>
      </c>
    </row>
    <row r="393" spans="2:18" x14ac:dyDescent="0.25">
      <c r="B393" s="28" t="str">
        <f t="shared" si="67"/>
        <v>Électricité</v>
      </c>
      <c r="C393" s="25" t="str">
        <f t="shared" ca="1" si="65"/>
        <v>$G$393</v>
      </c>
      <c r="D393" s="25"/>
      <c r="E393" s="25"/>
      <c r="F393" s="27"/>
      <c r="G393" s="26"/>
      <c r="H393" s="135"/>
      <c r="I393" s="142" t="e">
        <f>#REF!</f>
        <v>#REF!</v>
      </c>
      <c r="J393" s="143">
        <f>IF(ISERROR((VLOOKUP(G393,[1]Données!$P$13:$Q$31,2,0))="#N/D"),0,(VLOOKUP(G393,[1]Données!$P$13:$Q$31,2,0)))</f>
        <v>0</v>
      </c>
      <c r="K393" s="148">
        <f t="shared" ref="K393:K398" si="68">H393*J393</f>
        <v>0</v>
      </c>
      <c r="L393" s="159">
        <v>0</v>
      </c>
      <c r="M393" s="24">
        <f t="shared" ref="M393:M398" si="69">(J393*L393+J393)</f>
        <v>0</v>
      </c>
      <c r="N393" s="29">
        <f t="shared" ref="N393:N398" si="70">K393+K393*L393</f>
        <v>0</v>
      </c>
      <c r="O393" s="22"/>
      <c r="P393" s="21">
        <v>0</v>
      </c>
      <c r="Q393" s="20">
        <f t="shared" si="66"/>
        <v>0</v>
      </c>
      <c r="R393" s="19" t="e">
        <f>IF(#REF!=0,,(SUM(P393)*24*Quantitatif!#REF!/(1-Quantitatif!#REF!))/#REF!)</f>
        <v>#REF!</v>
      </c>
    </row>
    <row r="394" spans="2:18" ht="30" x14ac:dyDescent="0.25">
      <c r="B394" s="28" t="str">
        <f t="shared" si="67"/>
        <v>Électricité</v>
      </c>
      <c r="C394" s="25" t="str">
        <f t="shared" ca="1" si="65"/>
        <v>$G$394</v>
      </c>
      <c r="D394" s="25" t="s">
        <v>8</v>
      </c>
      <c r="E394" s="25" t="s">
        <v>7</v>
      </c>
      <c r="F394" s="27"/>
      <c r="G394" s="26" t="str">
        <f>+CONCATENATE(D394," ",E394)</f>
        <v>Récuperateur eau de pluie 3000 L avec préfiltre et pompe</v>
      </c>
      <c r="H394" s="174"/>
      <c r="I394" s="142" t="e">
        <f>#REF!</f>
        <v>#REF!</v>
      </c>
      <c r="J394" s="143">
        <f>IF(ISERROR((VLOOKUP(G394,[1]Données!$P$13:$Q$31,2,0))="#N/D"),0,(VLOOKUP(G394,[1]Données!$P$13:$Q$31,2,0)))</f>
        <v>0</v>
      </c>
      <c r="K394" s="148">
        <f t="shared" si="68"/>
        <v>0</v>
      </c>
      <c r="L394" s="159">
        <v>0</v>
      </c>
      <c r="M394" s="24">
        <f t="shared" si="69"/>
        <v>0</v>
      </c>
      <c r="N394" s="29">
        <f t="shared" si="70"/>
        <v>0</v>
      </c>
      <c r="O394" s="22"/>
      <c r="P394" s="21">
        <v>0</v>
      </c>
      <c r="Q394" s="20">
        <f t="shared" si="66"/>
        <v>0</v>
      </c>
      <c r="R394" s="19" t="e">
        <f>IF(#REF!=0,,(SUM(P394)*24*Quantitatif!#REF!/(1-Quantitatif!#REF!))/#REF!)</f>
        <v>#REF!</v>
      </c>
    </row>
    <row r="395" spans="2:18" x14ac:dyDescent="0.25">
      <c r="B395" s="28" t="str">
        <f t="shared" si="67"/>
        <v>Électricité</v>
      </c>
      <c r="C395" s="25" t="str">
        <f t="shared" ca="1" si="65"/>
        <v>$G$395</v>
      </c>
      <c r="D395" s="25"/>
      <c r="E395" s="25"/>
      <c r="F395" s="27"/>
      <c r="G395" s="26"/>
      <c r="H395" s="135"/>
      <c r="I395" s="142" t="e">
        <f>#REF!</f>
        <v>#REF!</v>
      </c>
      <c r="J395" s="143">
        <f>IF(ISERROR((VLOOKUP(G395,[1]Données!$P$13:$Q$31,2,0))="#N/D"),0,(VLOOKUP(G395,[1]Données!$P$13:$Q$31,2,0)))</f>
        <v>0</v>
      </c>
      <c r="K395" s="148">
        <f t="shared" si="68"/>
        <v>0</v>
      </c>
      <c r="L395" s="159">
        <v>0</v>
      </c>
      <c r="M395" s="24">
        <f t="shared" si="69"/>
        <v>0</v>
      </c>
      <c r="N395" s="29">
        <f t="shared" si="70"/>
        <v>0</v>
      </c>
      <c r="O395" s="22"/>
      <c r="P395" s="21">
        <v>0</v>
      </c>
      <c r="Q395" s="20">
        <f t="shared" si="66"/>
        <v>0</v>
      </c>
      <c r="R395" s="19" t="e">
        <f>IF(#REF!=0,,(SUM(P395)*24*Quantitatif!#REF!/(1-Quantitatif!#REF!))/#REF!)</f>
        <v>#REF!</v>
      </c>
    </row>
    <row r="396" spans="2:18" x14ac:dyDescent="0.25">
      <c r="B396" s="28" t="str">
        <f t="shared" si="67"/>
        <v>Électricité</v>
      </c>
      <c r="C396" s="25" t="str">
        <f t="shared" ca="1" si="65"/>
        <v>$G$396</v>
      </c>
      <c r="D396" s="25"/>
      <c r="E396" s="25"/>
      <c r="F396" s="27"/>
      <c r="G396" s="26"/>
      <c r="H396" s="135"/>
      <c r="I396" s="142" t="e">
        <f>#REF!</f>
        <v>#REF!</v>
      </c>
      <c r="J396" s="143">
        <f>IF(ISERROR((VLOOKUP(G396,[1]Données!$P$13:$Q$31,2,0))="#N/D"),0,(VLOOKUP(G396,[1]Données!$P$13:$Q$31,2,0)))</f>
        <v>0</v>
      </c>
      <c r="K396" s="148">
        <f t="shared" si="68"/>
        <v>0</v>
      </c>
      <c r="L396" s="159">
        <v>0</v>
      </c>
      <c r="M396" s="24">
        <f t="shared" si="69"/>
        <v>0</v>
      </c>
      <c r="N396" s="29">
        <f t="shared" si="70"/>
        <v>0</v>
      </c>
      <c r="O396" s="22"/>
      <c r="P396" s="21">
        <v>0</v>
      </c>
      <c r="Q396" s="20">
        <f t="shared" si="66"/>
        <v>0</v>
      </c>
      <c r="R396" s="19" t="e">
        <f>IF(#REF!=0,,(SUM(P396)*24*Quantitatif!#REF!/(1-Quantitatif!#REF!))/#REF!)</f>
        <v>#REF!</v>
      </c>
    </row>
    <row r="397" spans="2:18" x14ac:dyDescent="0.25">
      <c r="B397" s="28" t="s">
        <v>6</v>
      </c>
      <c r="C397" s="25" t="str">
        <f t="shared" ca="1" si="65"/>
        <v>$G$397</v>
      </c>
      <c r="D397" s="25"/>
      <c r="E397" s="25"/>
      <c r="F397" s="27"/>
      <c r="G397" s="26" t="s">
        <v>6</v>
      </c>
      <c r="H397" s="135"/>
      <c r="I397" s="142" t="e">
        <f>#REF!</f>
        <v>#REF!</v>
      </c>
      <c r="J397" s="143">
        <f>IF(ISERROR((VLOOKUP(G397,[1]Données!$P$13:$Q$31,2,0))="#N/D"),0,(VLOOKUP(G397,[1]Données!$P$13:$Q$31,2,0)))</f>
        <v>0</v>
      </c>
      <c r="K397" s="148">
        <f t="shared" si="68"/>
        <v>0</v>
      </c>
      <c r="L397" s="159">
        <v>0</v>
      </c>
      <c r="M397" s="24">
        <f t="shared" si="69"/>
        <v>0</v>
      </c>
      <c r="N397" s="29">
        <f t="shared" si="70"/>
        <v>0</v>
      </c>
      <c r="O397" s="22"/>
      <c r="P397" s="21">
        <v>0</v>
      </c>
      <c r="Q397" s="20">
        <f t="shared" si="66"/>
        <v>0</v>
      </c>
      <c r="R397" s="19" t="e">
        <f>IF(#REF!=0,,(SUM(P397)*24*Quantitatif!#REF!/(1-Quantitatif!#REF!))/#REF!)</f>
        <v>#REF!</v>
      </c>
    </row>
    <row r="398" spans="2:18" x14ac:dyDescent="0.25">
      <c r="B398" s="28" t="str">
        <f>A314</f>
        <v>-choisir-</v>
      </c>
      <c r="C398" s="25" t="str">
        <f t="shared" ca="1" si="65"/>
        <v>$G$398</v>
      </c>
      <c r="D398" s="25"/>
      <c r="E398" s="25"/>
      <c r="F398" s="27"/>
      <c r="G398" s="26" t="s">
        <v>5</v>
      </c>
      <c r="H398" s="135"/>
      <c r="I398" s="142" t="s">
        <v>5</v>
      </c>
      <c r="J398" s="143">
        <f>IF(ISERROR((VLOOKUP(G398,[1]Données!$P$13:$Q$31,2,0))="#N/D"),0,(VLOOKUP(G398,[1]Données!$P$13:$Q$31,2,0)))</f>
        <v>0</v>
      </c>
      <c r="K398" s="148">
        <f t="shared" si="68"/>
        <v>0</v>
      </c>
      <c r="L398" s="159">
        <v>0</v>
      </c>
      <c r="M398" s="24">
        <f t="shared" si="69"/>
        <v>0</v>
      </c>
      <c r="N398" s="29">
        <f t="shared" si="70"/>
        <v>0</v>
      </c>
      <c r="O398" s="22"/>
      <c r="P398" s="21">
        <v>0</v>
      </c>
      <c r="Q398" s="20">
        <f t="shared" si="66"/>
        <v>0</v>
      </c>
      <c r="R398" s="19" t="e">
        <f>IF(#REF!=0,,(SUM(P398)*24*Quantitatif!#REF!/(1-Quantitatif!#REF!))/#REF!)</f>
        <v>#REF!</v>
      </c>
    </row>
    <row r="399" spans="2:18" ht="22.9" customHeight="1" x14ac:dyDescent="0.3">
      <c r="D399" s="10"/>
      <c r="E399" s="10"/>
      <c r="F399" s="10"/>
      <c r="G399" s="9"/>
      <c r="H399" s="42"/>
      <c r="I399" s="42"/>
      <c r="N399" s="12"/>
    </row>
    <row r="400" spans="2:18" ht="22.9" customHeight="1" x14ac:dyDescent="0.25">
      <c r="B400" s="2" t="str">
        <f>[1]Données!O45</f>
        <v>Options non préremplies</v>
      </c>
      <c r="D400" s="10"/>
      <c r="E400" s="10"/>
      <c r="F400" s="10"/>
      <c r="G400" s="9"/>
      <c r="H400" s="42"/>
      <c r="I400" s="42"/>
      <c r="N400" s="1"/>
    </row>
    <row r="401" spans="2:18" ht="22.9" customHeight="1" x14ac:dyDescent="0.25">
      <c r="B401" s="28">
        <f>[1]Données!O47</f>
        <v>0</v>
      </c>
      <c r="C401" s="25"/>
      <c r="D401" s="25"/>
      <c r="E401" s="25"/>
      <c r="F401" s="27"/>
      <c r="G401" s="26">
        <f>[1]Données!P47</f>
        <v>0</v>
      </c>
      <c r="H401" s="135"/>
      <c r="I401" s="142" t="s">
        <v>4</v>
      </c>
      <c r="J401" s="143">
        <f>[1]Données!Q47</f>
        <v>0</v>
      </c>
      <c r="K401" s="148"/>
      <c r="L401" s="159"/>
      <c r="M401" s="24"/>
      <c r="N401" s="23"/>
      <c r="O401" s="22"/>
      <c r="P401" s="21"/>
      <c r="Q401" s="20"/>
      <c r="R401" s="19"/>
    </row>
    <row r="402" spans="2:18" ht="22.9" customHeight="1" x14ac:dyDescent="0.25">
      <c r="B402" s="28">
        <f>[1]Données!O48</f>
        <v>0</v>
      </c>
      <c r="C402" s="25"/>
      <c r="D402" s="25"/>
      <c r="E402" s="25"/>
      <c r="F402" s="27"/>
      <c r="G402" s="26">
        <f>[1]Données!P48</f>
        <v>0</v>
      </c>
      <c r="H402" s="135"/>
      <c r="I402" s="142" t="s">
        <v>4</v>
      </c>
      <c r="J402" s="143">
        <f>[1]Données!Q48</f>
        <v>0</v>
      </c>
      <c r="K402" s="148"/>
      <c r="L402" s="159"/>
      <c r="M402" s="24"/>
      <c r="N402" s="23"/>
      <c r="O402" s="22"/>
      <c r="P402" s="21"/>
      <c r="Q402" s="20"/>
      <c r="R402" s="19"/>
    </row>
    <row r="403" spans="2:18" ht="22.9" customHeight="1" x14ac:dyDescent="0.25">
      <c r="B403" s="28">
        <f>[1]Données!O49</f>
        <v>0</v>
      </c>
      <c r="C403" s="25"/>
      <c r="D403" s="25"/>
      <c r="E403" s="25"/>
      <c r="F403" s="27"/>
      <c r="G403" s="26">
        <f>[1]Données!P49</f>
        <v>0</v>
      </c>
      <c r="H403" s="135"/>
      <c r="I403" s="142" t="s">
        <v>4</v>
      </c>
      <c r="J403" s="143">
        <f>[1]Données!Q49</f>
        <v>0</v>
      </c>
      <c r="K403" s="148"/>
      <c r="L403" s="159"/>
      <c r="M403" s="24"/>
      <c r="N403" s="23"/>
      <c r="O403" s="22"/>
      <c r="P403" s="21"/>
      <c r="Q403" s="20"/>
      <c r="R403" s="19"/>
    </row>
    <row r="404" spans="2:18" ht="22.9" customHeight="1" x14ac:dyDescent="0.25">
      <c r="B404" s="28">
        <f>[1]Données!O50</f>
        <v>0</v>
      </c>
      <c r="C404" s="25"/>
      <c r="D404" s="25"/>
      <c r="E404" s="25"/>
      <c r="F404" s="27"/>
      <c r="G404" s="26">
        <f>[1]Données!P50</f>
        <v>0</v>
      </c>
      <c r="H404" s="135"/>
      <c r="I404" s="142" t="s">
        <v>4</v>
      </c>
      <c r="J404" s="143">
        <f>[1]Données!Q50</f>
        <v>0</v>
      </c>
      <c r="K404" s="148"/>
      <c r="L404" s="159"/>
      <c r="M404" s="24"/>
      <c r="N404" s="23"/>
      <c r="O404" s="22"/>
      <c r="P404" s="21"/>
      <c r="Q404" s="20"/>
      <c r="R404" s="19"/>
    </row>
    <row r="405" spans="2:18" ht="22.9" customHeight="1" x14ac:dyDescent="0.25">
      <c r="B405" s="28">
        <f>[1]Données!O51</f>
        <v>0</v>
      </c>
      <c r="C405" s="25"/>
      <c r="D405" s="25"/>
      <c r="E405" s="25"/>
      <c r="F405" s="27"/>
      <c r="G405" s="26">
        <f>[1]Données!P51</f>
        <v>0</v>
      </c>
      <c r="H405" s="135"/>
      <c r="I405" s="142" t="s">
        <v>4</v>
      </c>
      <c r="J405" s="143">
        <f>[1]Données!Q51</f>
        <v>0</v>
      </c>
      <c r="K405" s="148"/>
      <c r="L405" s="159"/>
      <c r="M405" s="24"/>
      <c r="N405" s="23"/>
      <c r="O405" s="22"/>
      <c r="P405" s="21"/>
      <c r="Q405" s="20"/>
      <c r="R405" s="19"/>
    </row>
    <row r="406" spans="2:18" ht="22.9" customHeight="1" x14ac:dyDescent="0.25">
      <c r="B406" s="28">
        <f>[1]Données!O52</f>
        <v>0</v>
      </c>
      <c r="C406" s="25"/>
      <c r="D406" s="25"/>
      <c r="E406" s="25"/>
      <c r="F406" s="27"/>
      <c r="G406" s="26">
        <f>[1]Données!P52</f>
        <v>0</v>
      </c>
      <c r="H406" s="135"/>
      <c r="I406" s="142" t="s">
        <v>4</v>
      </c>
      <c r="J406" s="143">
        <f>[1]Données!Q52</f>
        <v>0</v>
      </c>
      <c r="K406" s="148"/>
      <c r="L406" s="159"/>
      <c r="M406" s="24"/>
      <c r="N406" s="23"/>
      <c r="O406" s="22"/>
      <c r="P406" s="21"/>
      <c r="Q406" s="20"/>
      <c r="R406" s="19"/>
    </row>
    <row r="407" spans="2:18" ht="22.9" customHeight="1" x14ac:dyDescent="0.25">
      <c r="B407" s="28">
        <f>[1]Données!O53</f>
        <v>0</v>
      </c>
      <c r="C407" s="25"/>
      <c r="D407" s="25"/>
      <c r="E407" s="25"/>
      <c r="F407" s="27"/>
      <c r="G407" s="26">
        <f>[1]Données!P53</f>
        <v>0</v>
      </c>
      <c r="H407" s="135"/>
      <c r="I407" s="142" t="s">
        <v>4</v>
      </c>
      <c r="J407" s="143">
        <f>[1]Données!Q53</f>
        <v>0</v>
      </c>
      <c r="K407" s="148"/>
      <c r="L407" s="159"/>
      <c r="M407" s="24"/>
      <c r="N407" s="23"/>
      <c r="O407" s="22"/>
      <c r="P407" s="21"/>
      <c r="Q407" s="20"/>
      <c r="R407" s="19"/>
    </row>
    <row r="408" spans="2:18" ht="22.9" customHeight="1" x14ac:dyDescent="0.25">
      <c r="B408" s="28">
        <f>[1]Données!O54</f>
        <v>0</v>
      </c>
      <c r="C408" s="25"/>
      <c r="D408" s="25"/>
      <c r="E408" s="25"/>
      <c r="F408" s="27"/>
      <c r="G408" s="26">
        <f>[1]Données!P54</f>
        <v>0</v>
      </c>
      <c r="H408" s="135"/>
      <c r="I408" s="142" t="s">
        <v>4</v>
      </c>
      <c r="J408" s="143">
        <f>[1]Données!Q54</f>
        <v>0</v>
      </c>
      <c r="K408" s="148"/>
      <c r="L408" s="159"/>
      <c r="M408" s="24"/>
      <c r="N408" s="23"/>
      <c r="O408" s="22"/>
      <c r="P408" s="21"/>
      <c r="Q408" s="20"/>
      <c r="R408" s="19"/>
    </row>
    <row r="409" spans="2:18" ht="22.9" customHeight="1" x14ac:dyDescent="0.25">
      <c r="B409" s="28">
        <f>[1]Données!O55</f>
        <v>0</v>
      </c>
      <c r="C409" s="25"/>
      <c r="D409" s="25"/>
      <c r="E409" s="25"/>
      <c r="F409" s="27"/>
      <c r="G409" s="26">
        <f>[1]Données!P55</f>
        <v>0</v>
      </c>
      <c r="H409" s="135"/>
      <c r="I409" s="142" t="s">
        <v>4</v>
      </c>
      <c r="J409" s="143">
        <f>[1]Données!Q55</f>
        <v>0</v>
      </c>
      <c r="K409" s="148"/>
      <c r="L409" s="159"/>
      <c r="M409" s="24"/>
      <c r="N409" s="23"/>
      <c r="O409" s="22"/>
      <c r="P409" s="21"/>
      <c r="Q409" s="20"/>
      <c r="R409" s="19"/>
    </row>
    <row r="410" spans="2:18" ht="22.9" customHeight="1" x14ac:dyDescent="0.25">
      <c r="B410" s="28">
        <f>[1]Données!O56</f>
        <v>0</v>
      </c>
      <c r="C410" s="25"/>
      <c r="D410" s="25"/>
      <c r="E410" s="25"/>
      <c r="F410" s="27"/>
      <c r="G410" s="26">
        <f>[1]Données!P56</f>
        <v>0</v>
      </c>
      <c r="H410" s="135"/>
      <c r="I410" s="142" t="s">
        <v>4</v>
      </c>
      <c r="J410" s="143">
        <f>[1]Données!Q56</f>
        <v>0</v>
      </c>
      <c r="K410" s="148"/>
      <c r="L410" s="159"/>
      <c r="M410" s="24"/>
      <c r="N410" s="23"/>
      <c r="O410" s="22"/>
      <c r="P410" s="21"/>
      <c r="Q410" s="20"/>
      <c r="R410" s="19"/>
    </row>
    <row r="411" spans="2:18" ht="22.9" customHeight="1" x14ac:dyDescent="0.3">
      <c r="H411" s="43"/>
      <c r="J411" s="4"/>
      <c r="L411" s="39"/>
      <c r="N411" s="12">
        <f>SUM(N401:N410)</f>
        <v>0</v>
      </c>
      <c r="O411" s="17" t="e">
        <f>N411/$N$127</f>
        <v>#DIV/0!</v>
      </c>
      <c r="P411" s="16"/>
      <c r="Q411" s="15">
        <f>SUM(Q406:Q410)</f>
        <v>0</v>
      </c>
      <c r="R411" s="14"/>
    </row>
    <row r="412" spans="2:18" ht="22.9" customHeight="1" x14ac:dyDescent="0.25">
      <c r="D412" s="10"/>
      <c r="E412" s="10"/>
      <c r="F412" s="10"/>
      <c r="G412" s="9"/>
      <c r="H412" s="42"/>
      <c r="I412" s="42"/>
      <c r="J412" s="42"/>
      <c r="K412" s="42"/>
      <c r="L412" s="42"/>
      <c r="M412" s="1"/>
      <c r="N412" s="1"/>
      <c r="O412" s="1"/>
      <c r="P412" s="1"/>
      <c r="Q412" s="1"/>
      <c r="R412" s="1"/>
    </row>
    <row r="413" spans="2:18" ht="17.25" x14ac:dyDescent="0.3">
      <c r="D413" s="10"/>
      <c r="E413" s="10"/>
      <c r="F413" s="10"/>
      <c r="G413" s="9"/>
      <c r="H413" s="131" t="s">
        <v>3</v>
      </c>
      <c r="I413" s="131"/>
      <c r="J413" s="131"/>
      <c r="K413" s="131"/>
      <c r="L413" s="131"/>
      <c r="M413" s="131"/>
      <c r="N413" s="12" t="e">
        <f>SUM(#REF!+N298+N266+N239+N234+N220+N209+N200+N196)</f>
        <v>#REF!</v>
      </c>
      <c r="O413" s="1"/>
      <c r="P413" s="1"/>
      <c r="Q413" s="1"/>
      <c r="R413" s="1"/>
    </row>
    <row r="414" spans="2:18" ht="17.25" x14ac:dyDescent="0.3">
      <c r="D414" s="10"/>
      <c r="E414" s="10"/>
      <c r="F414" s="10"/>
      <c r="G414" s="9"/>
      <c r="H414" s="131" t="s">
        <v>2</v>
      </c>
      <c r="I414" s="131"/>
      <c r="J414" s="131"/>
      <c r="K414" s="131"/>
      <c r="L414" s="131"/>
      <c r="M414" s="131"/>
      <c r="N414" s="12" t="e">
        <f>N127+N413+N399</f>
        <v>#REF!</v>
      </c>
      <c r="O414" s="1"/>
      <c r="P414" s="1"/>
      <c r="Q414" s="1"/>
      <c r="R414" s="1"/>
    </row>
    <row r="415" spans="2:18" x14ac:dyDescent="0.25">
      <c r="D415" s="10"/>
      <c r="E415" s="10"/>
      <c r="F415" s="10"/>
      <c r="G415" s="9"/>
      <c r="H415" s="42"/>
      <c r="J415" s="4"/>
      <c r="M415" s="3" t="s">
        <v>1</v>
      </c>
      <c r="N415" s="8" t="e">
        <f>N414*1.2</f>
        <v>#REF!</v>
      </c>
      <c r="P415" s="1"/>
      <c r="Q415" s="1"/>
      <c r="R415" s="1"/>
    </row>
    <row r="416" spans="2:18" x14ac:dyDescent="0.25">
      <c r="H416" s="42"/>
      <c r="I416" s="42"/>
      <c r="J416" s="42"/>
      <c r="K416" s="42"/>
      <c r="L416" s="42"/>
      <c r="M416" s="1"/>
      <c r="N416" s="1"/>
      <c r="O416" s="1"/>
      <c r="P416" s="1"/>
      <c r="Q416" s="1"/>
      <c r="R416" s="1"/>
    </row>
    <row r="417" spans="7:18" x14ac:dyDescent="0.25">
      <c r="I417" s="42"/>
      <c r="J417" s="42"/>
      <c r="K417" s="42"/>
      <c r="L417" s="42"/>
      <c r="M417" s="1" t="s">
        <v>0</v>
      </c>
      <c r="N417" s="3" t="e">
        <f>N413/(1-Quantitatif!#REF!)-N413</f>
        <v>#REF!</v>
      </c>
      <c r="P417" s="1"/>
      <c r="Q417" s="1"/>
      <c r="R417" s="1"/>
    </row>
    <row r="418" spans="7:18" x14ac:dyDescent="0.25">
      <c r="H418" s="42"/>
    </row>
    <row r="419" spans="7:18" x14ac:dyDescent="0.25">
      <c r="H419" s="42"/>
    </row>
    <row r="421" spans="7:18" x14ac:dyDescent="0.25">
      <c r="G421" s="1"/>
    </row>
  </sheetData>
  <mergeCells count="39">
    <mergeCell ref="B222:B233"/>
    <mergeCell ref="B236:B238"/>
    <mergeCell ref="B241:B263"/>
    <mergeCell ref="B268:B297"/>
    <mergeCell ref="B300:B311"/>
    <mergeCell ref="C313:F313"/>
    <mergeCell ref="H171:M171"/>
    <mergeCell ref="H413:M413"/>
    <mergeCell ref="H414:M414"/>
    <mergeCell ref="H187:M187"/>
    <mergeCell ref="H190:M190"/>
    <mergeCell ref="A175:A184"/>
    <mergeCell ref="B178:B184"/>
    <mergeCell ref="B198:B199"/>
    <mergeCell ref="B202:B208"/>
    <mergeCell ref="B211:B219"/>
    <mergeCell ref="B120:B121"/>
    <mergeCell ref="H127:M127"/>
    <mergeCell ref="B149:B168"/>
    <mergeCell ref="B144:B146"/>
    <mergeCell ref="P144:P146"/>
    <mergeCell ref="Q144:Q146"/>
    <mergeCell ref="A130:A168"/>
    <mergeCell ref="B130:B132"/>
    <mergeCell ref="B135:B138"/>
    <mergeCell ref="P136:P137"/>
    <mergeCell ref="Q136:Q137"/>
    <mergeCell ref="B40:B41"/>
    <mergeCell ref="B45:B50"/>
    <mergeCell ref="A3:B3"/>
    <mergeCell ref="C3:F3"/>
    <mergeCell ref="G4:N4"/>
    <mergeCell ref="A5:A124"/>
    <mergeCell ref="B5:B12"/>
    <mergeCell ref="B90:B117"/>
    <mergeCell ref="B15:B19"/>
    <mergeCell ref="B22:B23"/>
    <mergeCell ref="B26:B37"/>
    <mergeCell ref="B53:B87"/>
  </mergeCells>
  <conditionalFormatting sqref="K193 K200:M200 J195:J196 O214:O217 J415:J1048576 O250 J211:J220 J223:J239 K202:K209 J241:J266 J198:J200 K14:M14 J114:J116 J47:J81 K116:M116 J90:J111 J35:J44 J20:J33 J141:J163 J130:J131 J135:J136 J138 J178:J182 J175 J171 J187 J1:J17 O298:P298 O196:P196 O220:P220 O411:P411 O137:P137 O200:P200 O18:P18 O116:P116 O128:P128 O131:P131 R200 R18 R116 R128 R131 J190 J121:J127 J268:J411">
    <cfRule type="cellIs" priority="1" operator="equal">
      <formula>0</formula>
    </cfRule>
  </conditionalFormatting>
  <printOptions horizontalCentered="1"/>
  <pageMargins left="0.25208333333333299" right="0.16666666666666699" top="0.20902777777777801" bottom="0.27916666666666701" header="0.51180555555555496" footer="0.51180555555555496"/>
  <pageSetup paperSize="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80298-C54A-49F5-95A1-33342B541B0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Quantitatif</vt:lpstr>
      <vt:lpstr>Feuil1</vt:lpstr>
      <vt:lpstr>Quantitatif!Impression_des_titres</vt:lpstr>
      <vt:lpstr>Quantitatif!Zone_d_impression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 PORTABLE</dc:creator>
  <cp:lastModifiedBy>Jean-Pierre</cp:lastModifiedBy>
  <dcterms:created xsi:type="dcterms:W3CDTF">2021-05-20T13:01:53Z</dcterms:created>
  <dcterms:modified xsi:type="dcterms:W3CDTF">2021-05-22T04:24:22Z</dcterms:modified>
</cp:coreProperties>
</file>